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a3ec9a7a5e4b170/ドキュメント/【水泳】HP/www/PDFs/07bihigashi/01_binan_soutai/R06/"/>
    </mc:Choice>
  </mc:AlternateContent>
  <xr:revisionPtr revIDLastSave="0" documentId="13_ncr:1_{7A4DEE9A-1369-47AA-A47B-15C984718821}" xr6:coauthVersionLast="47" xr6:coauthVersionMax="47" xr10:uidLastSave="{00000000-0000-0000-0000-000000000000}"/>
  <bookViews>
    <workbookView xWindow="-120" yWindow="-120" windowWidth="24240" windowHeight="13020" tabRatio="796" xr2:uid="{00000000-000D-0000-FFFF-FFFF00000000}"/>
  </bookViews>
  <sheets>
    <sheet name="①基本データ入力" sheetId="4" r:id="rId1"/>
    <sheet name="②個人種目申込" sheetId="1" r:id="rId2"/>
    <sheet name="③リレー申込" sheetId="5" r:id="rId3"/>
    <sheet name="④学校参加申込書（提出用）" sheetId="3" r:id="rId4"/>
    <sheet name="⑤外部指導者" sheetId="12" state="hidden" r:id="rId5"/>
    <sheet name="理事処理用個人" sheetId="15" r:id="rId6"/>
    <sheet name="理事処理用リレー" sheetId="14" r:id="rId7"/>
    <sheet name="理事処理用役員" sheetId="16" r:id="rId8"/>
    <sheet name="理事処理用" sheetId="9" state="hidden" r:id="rId9"/>
    <sheet name="中学住所" sheetId="13" state="hidden" r:id="rId10"/>
  </sheets>
  <definedNames>
    <definedName name="_xlnm.Print_Area" localSheetId="2">③リレー申込!$A$1:$T$29</definedName>
    <definedName name="_xlnm.Print_Area" localSheetId="3">'④学校参加申込書（提出用）'!$B$1:$N$42</definedName>
    <definedName name="距離" localSheetId="6">②個人種目申込!#REF!</definedName>
    <definedName name="距離" localSheetId="5">②個人種目申込!#REF!</definedName>
    <definedName name="距離" localSheetId="7">②個人種目申込!#REF!</definedName>
    <definedName name="距離">②個人種目申込!#REF!</definedName>
    <definedName name="県内中学校">中学住所!$E$3:$E$35</definedName>
    <definedName name="女子">②個人種目申込!$AT$3:$AW$3</definedName>
    <definedName name="女子100">②個人種目申込!$AU$4:$AU$7</definedName>
    <definedName name="女子200">②個人種目申込!$AV$4:$AV$7</definedName>
    <definedName name="女子400">②個人種目申込!$AW$4</definedName>
    <definedName name="女子50">②個人種目申込!$AT$4:$AT$7</definedName>
    <definedName name="新人種目">②個人種目申込!$AZ$16:$AZ$42</definedName>
    <definedName name="新人女子" localSheetId="6">中学住所!#REF!</definedName>
    <definedName name="新人女子" localSheetId="5">中学住所!#REF!</definedName>
    <definedName name="新人女子" localSheetId="7">中学住所!#REF!</definedName>
    <definedName name="新人女子">中学住所!#REF!</definedName>
    <definedName name="新人男子" localSheetId="6">中学住所!#REF!</definedName>
    <definedName name="新人男子" localSheetId="5">中学住所!#REF!</definedName>
    <definedName name="新人男子" localSheetId="7">中学住所!#REF!</definedName>
    <definedName name="新人男子">中学住所!#REF!</definedName>
    <definedName name="性別" localSheetId="6">②個人種目申込!#REF!</definedName>
    <definedName name="性別" localSheetId="5">②個人種目申込!#REF!</definedName>
    <definedName name="性別" localSheetId="7">②個人種目申込!#REF!</definedName>
    <definedName name="性別">②個人種目申込!#REF!</definedName>
    <definedName name="総体種目">②個人種目申込!$AY$16:$AY$36</definedName>
    <definedName name="総体女子" localSheetId="6">中学住所!#REF!</definedName>
    <definedName name="総体女子" localSheetId="5">中学住所!#REF!</definedName>
    <definedName name="総体女子" localSheetId="7">中学住所!#REF!</definedName>
    <definedName name="総体女子">中学住所!#REF!</definedName>
    <definedName name="総体男子" localSheetId="6">中学住所!#REF!</definedName>
    <definedName name="総体男子" localSheetId="5">中学住所!#REF!</definedName>
    <definedName name="総体男子" localSheetId="7">中学住所!#REF!</definedName>
    <definedName name="総体男子">中学住所!#REF!</definedName>
    <definedName name="男子">②個人種目申込!$AP$3:$AS$3</definedName>
    <definedName name="男子100">②個人種目申込!$AQ$4:$AQ$7</definedName>
    <definedName name="男子200">②個人種目申込!$AR$4:$AR$8</definedName>
    <definedName name="男子400">②個人種目申込!$AS$4</definedName>
    <definedName name="男子50">②個人種目申込!$AP$4:$AP$7</definedName>
    <definedName name="男女" localSheetId="6">中学住所!#REF!</definedName>
    <definedName name="男女" localSheetId="5">中学住所!#REF!</definedName>
    <definedName name="男女" localSheetId="7">中学住所!#REF!</definedName>
    <definedName name="男女">中学住所!#REF!</definedName>
    <definedName name="役員">中学住所!$U$4:$U$15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" i="15" l="1"/>
  <c r="T4" i="15"/>
  <c r="T5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" i="15"/>
  <c r="O8" i="4" l="1"/>
  <c r="E8" i="4" l="1"/>
  <c r="A2" i="3" s="1"/>
  <c r="J4" i="3"/>
  <c r="J2" i="12"/>
  <c r="S8" i="4"/>
  <c r="N2" i="12" s="1"/>
  <c r="Q8" i="4"/>
  <c r="L2" i="12" s="1"/>
  <c r="U2" i="16"/>
  <c r="J2" i="16"/>
  <c r="R3" i="16" s="1"/>
  <c r="T2" i="16"/>
  <c r="N2" i="16"/>
  <c r="Q3" i="16"/>
  <c r="S2" i="16"/>
  <c r="Q2" i="16"/>
  <c r="O2" i="16"/>
  <c r="L2" i="16"/>
  <c r="K2" i="16"/>
  <c r="I2" i="16"/>
  <c r="H2" i="16"/>
  <c r="G2" i="16"/>
  <c r="F2" i="16"/>
  <c r="N13" i="4"/>
  <c r="D2" i="16" s="1"/>
  <c r="N12" i="4"/>
  <c r="C2" i="16" s="1"/>
  <c r="N11" i="4"/>
  <c r="M2" i="14" s="1"/>
  <c r="A2" i="16"/>
  <c r="B14" i="5"/>
  <c r="B3" i="14" s="1"/>
  <c r="B15" i="5"/>
  <c r="B4" i="14" s="1"/>
  <c r="B16" i="5"/>
  <c r="B5" i="14" s="1"/>
  <c r="F5" i="14" s="1"/>
  <c r="B13" i="5"/>
  <c r="AN2" i="9" s="1"/>
  <c r="U26" i="15"/>
  <c r="R26" i="15"/>
  <c r="S26" i="15" s="1"/>
  <c r="H32" i="1"/>
  <c r="K26" i="15" s="1"/>
  <c r="L26" i="15" s="1"/>
  <c r="H26" i="15"/>
  <c r="C26" i="15"/>
  <c r="G26" i="15" s="1"/>
  <c r="F26" i="15"/>
  <c r="E26" i="15"/>
  <c r="D26" i="15"/>
  <c r="U25" i="15"/>
  <c r="R25" i="15"/>
  <c r="S25" i="15"/>
  <c r="H31" i="1"/>
  <c r="K25" i="9" s="1"/>
  <c r="L25" i="9" s="1"/>
  <c r="H25" i="15"/>
  <c r="C25" i="15"/>
  <c r="G25" i="15"/>
  <c r="F25" i="15"/>
  <c r="E25" i="15"/>
  <c r="D25" i="15"/>
  <c r="U24" i="15"/>
  <c r="R24" i="15"/>
  <c r="S24" i="15"/>
  <c r="H30" i="1"/>
  <c r="K24" i="15" s="1"/>
  <c r="L24" i="15" s="1"/>
  <c r="H24" i="15"/>
  <c r="C24" i="15"/>
  <c r="G24" i="15"/>
  <c r="F24" i="15"/>
  <c r="E24" i="15"/>
  <c r="D24" i="15"/>
  <c r="U23" i="15"/>
  <c r="R23" i="15"/>
  <c r="S23" i="15" s="1"/>
  <c r="H29" i="1"/>
  <c r="K23" i="15" s="1"/>
  <c r="L23" i="15" s="1"/>
  <c r="H23" i="15"/>
  <c r="C23" i="15"/>
  <c r="G23" i="15"/>
  <c r="F23" i="15"/>
  <c r="E23" i="15"/>
  <c r="D23" i="15"/>
  <c r="U22" i="15"/>
  <c r="R22" i="15"/>
  <c r="S22" i="15" s="1"/>
  <c r="H28" i="1"/>
  <c r="K22" i="15" s="1"/>
  <c r="L22" i="15" s="1"/>
  <c r="H22" i="15"/>
  <c r="C22" i="15"/>
  <c r="G22" i="15" s="1"/>
  <c r="F22" i="15"/>
  <c r="E22" i="15"/>
  <c r="D22" i="15"/>
  <c r="U21" i="15"/>
  <c r="R21" i="15"/>
  <c r="S21" i="15" s="1"/>
  <c r="H27" i="1"/>
  <c r="K21" i="15" s="1"/>
  <c r="L21" i="15" s="1"/>
  <c r="H21" i="15"/>
  <c r="C21" i="15"/>
  <c r="G21" i="15" s="1"/>
  <c r="F21" i="15"/>
  <c r="E21" i="15"/>
  <c r="D21" i="15"/>
  <c r="U20" i="15"/>
  <c r="R20" i="15"/>
  <c r="S20" i="15" s="1"/>
  <c r="H26" i="1"/>
  <c r="K20" i="15" s="1"/>
  <c r="L20" i="15" s="1"/>
  <c r="H20" i="15"/>
  <c r="C20" i="15"/>
  <c r="G20" i="15" s="1"/>
  <c r="F20" i="15"/>
  <c r="E20" i="15"/>
  <c r="D20" i="15"/>
  <c r="U19" i="15"/>
  <c r="R19" i="15"/>
  <c r="S19" i="15" s="1"/>
  <c r="H25" i="1"/>
  <c r="K19" i="15" s="1"/>
  <c r="L19" i="15" s="1"/>
  <c r="H19" i="15"/>
  <c r="C19" i="15"/>
  <c r="G19" i="15" s="1"/>
  <c r="F19" i="15"/>
  <c r="E19" i="15"/>
  <c r="D19" i="15"/>
  <c r="U18" i="15"/>
  <c r="R18" i="15"/>
  <c r="S18" i="15"/>
  <c r="H24" i="1"/>
  <c r="K18" i="15" s="1"/>
  <c r="L18" i="15" s="1"/>
  <c r="H18" i="15"/>
  <c r="C18" i="15"/>
  <c r="G18" i="15"/>
  <c r="F18" i="15"/>
  <c r="E18" i="15"/>
  <c r="D18" i="15"/>
  <c r="U17" i="15"/>
  <c r="R17" i="15"/>
  <c r="S17" i="15" s="1"/>
  <c r="H23" i="1"/>
  <c r="K17" i="15" s="1"/>
  <c r="L17" i="15" s="1"/>
  <c r="H17" i="15"/>
  <c r="C17" i="15"/>
  <c r="G17" i="15" s="1"/>
  <c r="F17" i="15"/>
  <c r="E17" i="15"/>
  <c r="D17" i="15"/>
  <c r="U16" i="15"/>
  <c r="R16" i="15"/>
  <c r="S16" i="15"/>
  <c r="H22" i="1"/>
  <c r="K16" i="15" s="1"/>
  <c r="L16" i="15" s="1"/>
  <c r="H16" i="15"/>
  <c r="C16" i="15"/>
  <c r="G16" i="15"/>
  <c r="F16" i="15"/>
  <c r="E16" i="15"/>
  <c r="D16" i="15"/>
  <c r="U15" i="15"/>
  <c r="R15" i="15"/>
  <c r="S15" i="15"/>
  <c r="H21" i="1"/>
  <c r="K15" i="15" s="1"/>
  <c r="L15" i="15" s="1"/>
  <c r="H15" i="15"/>
  <c r="C15" i="15"/>
  <c r="G15" i="15"/>
  <c r="F15" i="15"/>
  <c r="E15" i="15"/>
  <c r="D15" i="15"/>
  <c r="U14" i="15"/>
  <c r="R14" i="15"/>
  <c r="S14" i="15"/>
  <c r="H20" i="1"/>
  <c r="K14" i="15" s="1"/>
  <c r="L14" i="15" s="1"/>
  <c r="H14" i="15"/>
  <c r="C14" i="15"/>
  <c r="G14" i="15"/>
  <c r="F14" i="15"/>
  <c r="E14" i="15"/>
  <c r="D14" i="15"/>
  <c r="U13" i="15"/>
  <c r="R13" i="15"/>
  <c r="S13" i="15" s="1"/>
  <c r="H19" i="1"/>
  <c r="K13" i="15" s="1"/>
  <c r="L13" i="15" s="1"/>
  <c r="H13" i="15"/>
  <c r="C13" i="15"/>
  <c r="G13" i="15" s="1"/>
  <c r="F13" i="15"/>
  <c r="E13" i="15"/>
  <c r="D13" i="15"/>
  <c r="U12" i="15"/>
  <c r="R12" i="15"/>
  <c r="S12" i="15" s="1"/>
  <c r="H18" i="1"/>
  <c r="K12" i="15" s="1"/>
  <c r="L12" i="15" s="1"/>
  <c r="H12" i="15"/>
  <c r="C12" i="15"/>
  <c r="G12" i="15" s="1"/>
  <c r="F12" i="15"/>
  <c r="E12" i="15"/>
  <c r="D12" i="15"/>
  <c r="U11" i="15"/>
  <c r="R11" i="15"/>
  <c r="S11" i="15" s="1"/>
  <c r="H17" i="1"/>
  <c r="K11" i="15" s="1"/>
  <c r="L11" i="15" s="1"/>
  <c r="H11" i="15"/>
  <c r="C11" i="15"/>
  <c r="G11" i="15" s="1"/>
  <c r="F11" i="15"/>
  <c r="E11" i="15"/>
  <c r="D11" i="15"/>
  <c r="U10" i="15"/>
  <c r="R10" i="15"/>
  <c r="S10" i="15" s="1"/>
  <c r="H16" i="1"/>
  <c r="K10" i="15" s="1"/>
  <c r="L10" i="15" s="1"/>
  <c r="H10" i="15"/>
  <c r="C10" i="15"/>
  <c r="G10" i="15" s="1"/>
  <c r="F10" i="15"/>
  <c r="E10" i="15"/>
  <c r="D10" i="15"/>
  <c r="U9" i="15"/>
  <c r="R9" i="15"/>
  <c r="S9" i="15"/>
  <c r="H15" i="1"/>
  <c r="K9" i="9" s="1"/>
  <c r="L9" i="9" s="1"/>
  <c r="H9" i="15"/>
  <c r="C9" i="15"/>
  <c r="G9" i="15"/>
  <c r="F9" i="15"/>
  <c r="E9" i="15"/>
  <c r="D9" i="15"/>
  <c r="U8" i="15"/>
  <c r="R8" i="15"/>
  <c r="S8" i="15" s="1"/>
  <c r="H14" i="1"/>
  <c r="K8" i="15" s="1"/>
  <c r="L8" i="15" s="1"/>
  <c r="H8" i="15"/>
  <c r="C8" i="15"/>
  <c r="G8" i="15" s="1"/>
  <c r="F8" i="15"/>
  <c r="E8" i="15"/>
  <c r="D8" i="15"/>
  <c r="U7" i="15"/>
  <c r="R7" i="15"/>
  <c r="S7" i="15"/>
  <c r="H13" i="1"/>
  <c r="K7" i="15"/>
  <c r="L7" i="15" s="1"/>
  <c r="H7" i="15"/>
  <c r="C7" i="15"/>
  <c r="G7" i="15" s="1"/>
  <c r="F7" i="15"/>
  <c r="E7" i="15"/>
  <c r="D7" i="15"/>
  <c r="U6" i="15"/>
  <c r="R6" i="15"/>
  <c r="S6" i="15" s="1"/>
  <c r="H12" i="1"/>
  <c r="K6" i="15" s="1"/>
  <c r="L6" i="15" s="1"/>
  <c r="H6" i="15"/>
  <c r="C6" i="15"/>
  <c r="G6" i="15" s="1"/>
  <c r="F6" i="15"/>
  <c r="E6" i="15"/>
  <c r="D6" i="15"/>
  <c r="U5" i="15"/>
  <c r="R5" i="15"/>
  <c r="S5" i="15" s="1"/>
  <c r="H11" i="1"/>
  <c r="K5" i="15" s="1"/>
  <c r="H5" i="15"/>
  <c r="C5" i="15"/>
  <c r="G5" i="15" s="1"/>
  <c r="F5" i="15"/>
  <c r="E5" i="15"/>
  <c r="D5" i="15"/>
  <c r="U4" i="15"/>
  <c r="R4" i="15"/>
  <c r="S4" i="15" s="1"/>
  <c r="H10" i="1"/>
  <c r="K4" i="15" s="1"/>
  <c r="H4" i="15"/>
  <c r="C4" i="15"/>
  <c r="G4" i="15" s="1"/>
  <c r="F4" i="15"/>
  <c r="E4" i="15"/>
  <c r="D4" i="15"/>
  <c r="U3" i="15"/>
  <c r="R3" i="15"/>
  <c r="S3" i="15" s="1"/>
  <c r="H9" i="1"/>
  <c r="K3" i="15" s="1"/>
  <c r="H3" i="15"/>
  <c r="C3" i="15"/>
  <c r="G3" i="15" s="1"/>
  <c r="F3" i="15"/>
  <c r="E3" i="15"/>
  <c r="D3" i="15"/>
  <c r="U2" i="15"/>
  <c r="R2" i="15"/>
  <c r="S2" i="15" s="1"/>
  <c r="H8" i="1"/>
  <c r="K2" i="15" s="1"/>
  <c r="H2" i="15"/>
  <c r="C2" i="15"/>
  <c r="G2" i="15" s="1"/>
  <c r="F2" i="15"/>
  <c r="E2" i="15"/>
  <c r="D2" i="15"/>
  <c r="AC3" i="14"/>
  <c r="AA3" i="14"/>
  <c r="Y3" i="14"/>
  <c r="AC2" i="14"/>
  <c r="AA2" i="14"/>
  <c r="Y2" i="14"/>
  <c r="W2" i="14"/>
  <c r="V2" i="14"/>
  <c r="U2" i="14"/>
  <c r="T2" i="14"/>
  <c r="S2" i="14"/>
  <c r="R2" i="14"/>
  <c r="Q2" i="14"/>
  <c r="L2" i="14"/>
  <c r="R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" i="9"/>
  <c r="C9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B4" i="3"/>
  <c r="G8" i="4"/>
  <c r="D10" i="4" s="1"/>
  <c r="D7" i="1"/>
  <c r="I14" i="5"/>
  <c r="I15" i="5"/>
  <c r="I16" i="5"/>
  <c r="I13" i="5"/>
  <c r="J13" i="5"/>
  <c r="V13" i="4"/>
  <c r="F9" i="3" s="1"/>
  <c r="U13" i="4"/>
  <c r="B8" i="3" s="1"/>
  <c r="AN3" i="9"/>
  <c r="AU3" i="9" s="1"/>
  <c r="N16" i="5"/>
  <c r="K16" i="5"/>
  <c r="N15" i="5"/>
  <c r="K15" i="5"/>
  <c r="N14" i="5"/>
  <c r="K14" i="5"/>
  <c r="N13" i="5"/>
  <c r="O14" i="5" s="1"/>
  <c r="K13" i="5"/>
  <c r="E13" i="5"/>
  <c r="Y3" i="1"/>
  <c r="Y8" i="1"/>
  <c r="Y9" i="1"/>
  <c r="X8" i="1"/>
  <c r="X9" i="1"/>
  <c r="X10" i="1"/>
  <c r="Y10" i="1"/>
  <c r="X11" i="1"/>
  <c r="Y11" i="1"/>
  <c r="AA8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X31" i="1"/>
  <c r="Y31" i="1"/>
  <c r="X32" i="1"/>
  <c r="Y32" i="1"/>
  <c r="AA9" i="1"/>
  <c r="AB9" i="1" s="1"/>
  <c r="AE9" i="1" s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F9" i="1"/>
  <c r="S9" i="1" s="1"/>
  <c r="AG9" i="1"/>
  <c r="T9" i="1" s="1"/>
  <c r="AI9" i="1"/>
  <c r="AJ9" i="1"/>
  <c r="AF10" i="1"/>
  <c r="S10" i="1" s="1"/>
  <c r="AG10" i="1"/>
  <c r="T10" i="1" s="1"/>
  <c r="AI10" i="1"/>
  <c r="AJ10" i="1"/>
  <c r="AF11" i="1"/>
  <c r="S11" i="1" s="1"/>
  <c r="AG11" i="1"/>
  <c r="T11" i="1" s="1"/>
  <c r="AI11" i="1"/>
  <c r="AJ11" i="1"/>
  <c r="AF12" i="1"/>
  <c r="S12" i="1" s="1"/>
  <c r="AG12" i="1"/>
  <c r="T12" i="1" s="1"/>
  <c r="AI12" i="1"/>
  <c r="AJ12" i="1"/>
  <c r="AH12" i="1"/>
  <c r="U12" i="1" s="1"/>
  <c r="AF13" i="1"/>
  <c r="S13" i="1" s="1"/>
  <c r="AG13" i="1"/>
  <c r="T13" i="1" s="1"/>
  <c r="AI13" i="1"/>
  <c r="AJ13" i="1"/>
  <c r="AH13" i="1"/>
  <c r="U13" i="1" s="1"/>
  <c r="AF14" i="1"/>
  <c r="S14" i="1" s="1"/>
  <c r="AG14" i="1"/>
  <c r="T14" i="1" s="1"/>
  <c r="AI14" i="1"/>
  <c r="AJ14" i="1"/>
  <c r="AH14" i="1"/>
  <c r="U14" i="1" s="1"/>
  <c r="AF15" i="1"/>
  <c r="S15" i="1" s="1"/>
  <c r="AG15" i="1"/>
  <c r="T15" i="1" s="1"/>
  <c r="AI15" i="1"/>
  <c r="AH15" i="1" s="1"/>
  <c r="U15" i="1" s="1"/>
  <c r="AJ15" i="1"/>
  <c r="AF16" i="1"/>
  <c r="S16" i="1" s="1"/>
  <c r="AG16" i="1"/>
  <c r="T16" i="1" s="1"/>
  <c r="AI16" i="1"/>
  <c r="AH16" i="1" s="1"/>
  <c r="U16" i="1" s="1"/>
  <c r="AJ16" i="1"/>
  <c r="AF17" i="1"/>
  <c r="S17" i="1" s="1"/>
  <c r="AG17" i="1"/>
  <c r="T17" i="1" s="1"/>
  <c r="AI17" i="1"/>
  <c r="AH17" i="1" s="1"/>
  <c r="U17" i="1" s="1"/>
  <c r="AF18" i="1"/>
  <c r="S18" i="1" s="1"/>
  <c r="AG18" i="1"/>
  <c r="T18" i="1" s="1"/>
  <c r="AI18" i="1"/>
  <c r="AH18" i="1" s="1"/>
  <c r="U18" i="1" s="1"/>
  <c r="AF19" i="1"/>
  <c r="S19" i="1" s="1"/>
  <c r="AG19" i="1"/>
  <c r="T19" i="1" s="1"/>
  <c r="AI19" i="1"/>
  <c r="AH19" i="1" s="1"/>
  <c r="U19" i="1" s="1"/>
  <c r="AF20" i="1"/>
  <c r="S20" i="1"/>
  <c r="AG20" i="1"/>
  <c r="T20" i="1"/>
  <c r="AI20" i="1"/>
  <c r="AH20" i="1"/>
  <c r="U20" i="1" s="1"/>
  <c r="AF21" i="1"/>
  <c r="S21" i="1" s="1"/>
  <c r="AG21" i="1"/>
  <c r="T21" i="1" s="1"/>
  <c r="AI21" i="1"/>
  <c r="AH21" i="1" s="1"/>
  <c r="U21" i="1"/>
  <c r="AF22" i="1"/>
  <c r="S22" i="1"/>
  <c r="AG22" i="1"/>
  <c r="T22" i="1"/>
  <c r="AI22" i="1"/>
  <c r="AH22" i="1"/>
  <c r="U22" i="1" s="1"/>
  <c r="AF23" i="1"/>
  <c r="S23" i="1" s="1"/>
  <c r="AG23" i="1"/>
  <c r="T23" i="1" s="1"/>
  <c r="AI23" i="1"/>
  <c r="AH23" i="1" s="1"/>
  <c r="U23" i="1" s="1"/>
  <c r="AF24" i="1"/>
  <c r="S24" i="1" s="1"/>
  <c r="AG24" i="1"/>
  <c r="T24" i="1" s="1"/>
  <c r="AI24" i="1"/>
  <c r="AH24" i="1" s="1"/>
  <c r="U24" i="1" s="1"/>
  <c r="AF25" i="1"/>
  <c r="S25" i="1" s="1"/>
  <c r="AG25" i="1"/>
  <c r="T25" i="1" s="1"/>
  <c r="AI25" i="1"/>
  <c r="AH25" i="1" s="1"/>
  <c r="U25" i="1" s="1"/>
  <c r="AF26" i="1"/>
  <c r="S26" i="1"/>
  <c r="AG26" i="1"/>
  <c r="T26" i="1"/>
  <c r="AI26" i="1"/>
  <c r="AH26" i="1"/>
  <c r="U26" i="1" s="1"/>
  <c r="AF27" i="1"/>
  <c r="S27" i="1" s="1"/>
  <c r="AG27" i="1"/>
  <c r="T27" i="1" s="1"/>
  <c r="AI27" i="1"/>
  <c r="AH27" i="1" s="1"/>
  <c r="U27" i="1" s="1"/>
  <c r="AF28" i="1"/>
  <c r="S28" i="1" s="1"/>
  <c r="AG28" i="1"/>
  <c r="T28" i="1" s="1"/>
  <c r="AI28" i="1"/>
  <c r="AH28" i="1" s="1"/>
  <c r="U28" i="1" s="1"/>
  <c r="AF29" i="1"/>
  <c r="S29" i="1" s="1"/>
  <c r="AG29" i="1"/>
  <c r="T29" i="1" s="1"/>
  <c r="AI29" i="1"/>
  <c r="AH29" i="1" s="1"/>
  <c r="U29" i="1" s="1"/>
  <c r="AF30" i="1"/>
  <c r="S30" i="1"/>
  <c r="AG30" i="1"/>
  <c r="T30" i="1"/>
  <c r="AI30" i="1"/>
  <c r="AH30" i="1"/>
  <c r="U30" i="1" s="1"/>
  <c r="AF31" i="1"/>
  <c r="S31" i="1" s="1"/>
  <c r="AG31" i="1"/>
  <c r="T31" i="1" s="1"/>
  <c r="AI31" i="1"/>
  <c r="AH31" i="1" s="1"/>
  <c r="U31" i="1" s="1"/>
  <c r="AF32" i="1"/>
  <c r="S32" i="1" s="1"/>
  <c r="AG32" i="1"/>
  <c r="T32" i="1" s="1"/>
  <c r="AI32" i="1"/>
  <c r="AH32" i="1" s="1"/>
  <c r="U32" i="1" s="1"/>
  <c r="AJ8" i="1"/>
  <c r="AI8" i="1"/>
  <c r="AF8" i="1"/>
  <c r="S8" i="1" s="1"/>
  <c r="AG8" i="1"/>
  <c r="T8" i="1" s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Q4" i="1"/>
  <c r="AR4" i="1"/>
  <c r="AS4" i="1"/>
  <c r="AT4" i="1"/>
  <c r="AU4" i="1"/>
  <c r="AV4" i="1"/>
  <c r="AW4" i="1"/>
  <c r="AQ5" i="1"/>
  <c r="AR5" i="1"/>
  <c r="AT5" i="1"/>
  <c r="AU5" i="1"/>
  <c r="AV5" i="1"/>
  <c r="AQ6" i="1"/>
  <c r="AR6" i="1"/>
  <c r="AT6" i="1"/>
  <c r="AU6" i="1"/>
  <c r="AV6" i="1"/>
  <c r="AQ7" i="1"/>
  <c r="AR7" i="1"/>
  <c r="AT7" i="1"/>
  <c r="AU7" i="1"/>
  <c r="AV7" i="1"/>
  <c r="AR8" i="1"/>
  <c r="AP5" i="1"/>
  <c r="AP6" i="1"/>
  <c r="AP7" i="1"/>
  <c r="AP4" i="1"/>
  <c r="A3" i="13"/>
  <c r="B13" i="3"/>
  <c r="A4" i="13"/>
  <c r="K1" i="3" s="1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9" i="13"/>
  <c r="A28" i="13"/>
  <c r="A30" i="13"/>
  <c r="A31" i="13"/>
  <c r="A32" i="13"/>
  <c r="A33" i="13"/>
  <c r="A34" i="13"/>
  <c r="A35" i="13"/>
  <c r="J14" i="5"/>
  <c r="J15" i="5"/>
  <c r="J16" i="5"/>
  <c r="H41" i="3" s="1"/>
  <c r="P14" i="5"/>
  <c r="E16" i="5"/>
  <c r="E15" i="5"/>
  <c r="E14" i="5"/>
  <c r="E12" i="5"/>
  <c r="L13" i="5"/>
  <c r="M13" i="5"/>
  <c r="L14" i="5"/>
  <c r="L15" i="5"/>
  <c r="M15" i="5"/>
  <c r="M14" i="5"/>
  <c r="L1" i="3"/>
  <c r="D12" i="4"/>
  <c r="E14" i="9"/>
  <c r="S3" i="9"/>
  <c r="S5" i="9"/>
  <c r="S7" i="9"/>
  <c r="S9" i="9"/>
  <c r="S11" i="9"/>
  <c r="S13" i="9"/>
  <c r="S15" i="9"/>
  <c r="BO3" i="9"/>
  <c r="BO2" i="9"/>
  <c r="BM3" i="9"/>
  <c r="BM2" i="9"/>
  <c r="BK2" i="9"/>
  <c r="BK3" i="9"/>
  <c r="H7" i="1"/>
  <c r="T14" i="5"/>
  <c r="V14" i="5"/>
  <c r="T15" i="5"/>
  <c r="V15" i="5" s="1"/>
  <c r="T16" i="5"/>
  <c r="V16" i="5" s="1"/>
  <c r="T13" i="5"/>
  <c r="V13" i="5" s="1"/>
  <c r="Q14" i="5"/>
  <c r="S14" i="5" s="1"/>
  <c r="Q15" i="5"/>
  <c r="S15" i="5" s="1"/>
  <c r="Q16" i="5"/>
  <c r="S16" i="5" s="1"/>
  <c r="Q13" i="5"/>
  <c r="S13" i="5" s="1"/>
  <c r="P15" i="5"/>
  <c r="P16" i="5"/>
  <c r="M16" i="5"/>
  <c r="H35" i="12"/>
  <c r="D35" i="12"/>
  <c r="D33" i="12"/>
  <c r="D31" i="12"/>
  <c r="D29" i="12"/>
  <c r="H9" i="12"/>
  <c r="G8" i="12"/>
  <c r="K6" i="9"/>
  <c r="L6" i="9" s="1"/>
  <c r="K7" i="9"/>
  <c r="L7" i="9" s="1"/>
  <c r="K12" i="9"/>
  <c r="L12" i="9" s="1"/>
  <c r="K13" i="9"/>
  <c r="L13" i="9" s="1"/>
  <c r="K14" i="9"/>
  <c r="L14" i="9" s="1"/>
  <c r="K18" i="9"/>
  <c r="L18" i="9" s="1"/>
  <c r="K20" i="9"/>
  <c r="L20" i="9" s="1"/>
  <c r="K21" i="9"/>
  <c r="L21" i="9" s="1"/>
  <c r="K23" i="9"/>
  <c r="L23" i="9" s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L19" i="3"/>
  <c r="M19" i="3" s="1"/>
  <c r="L20" i="3"/>
  <c r="M20" i="3" s="1"/>
  <c r="L21" i="3"/>
  <c r="L22" i="3"/>
  <c r="L23" i="3"/>
  <c r="M23" i="3" s="1"/>
  <c r="L24" i="3"/>
  <c r="M24" i="3"/>
  <c r="L25" i="3"/>
  <c r="L26" i="3"/>
  <c r="M26" i="3" s="1"/>
  <c r="L27" i="3"/>
  <c r="L28" i="3"/>
  <c r="M28" i="3" s="1"/>
  <c r="L29" i="3"/>
  <c r="M29" i="3" s="1"/>
  <c r="L30" i="3"/>
  <c r="L31" i="3"/>
  <c r="L32" i="3"/>
  <c r="M32" i="3" s="1"/>
  <c r="L33" i="3"/>
  <c r="M33" i="3" s="1"/>
  <c r="L34" i="3"/>
  <c r="M34" i="3" s="1"/>
  <c r="L35" i="3"/>
  <c r="M35" i="3" s="1"/>
  <c r="L36" i="3"/>
  <c r="M36" i="3"/>
  <c r="I31" i="3"/>
  <c r="J31" i="3"/>
  <c r="K9" i="3"/>
  <c r="K8" i="3"/>
  <c r="K7" i="3"/>
  <c r="U16" i="5"/>
  <c r="I36" i="3"/>
  <c r="I14" i="3"/>
  <c r="J14" i="3" s="1"/>
  <c r="I15" i="3"/>
  <c r="J15" i="3" s="1"/>
  <c r="I16" i="3"/>
  <c r="I17" i="3"/>
  <c r="J17" i="3" s="1"/>
  <c r="I18" i="3"/>
  <c r="J18" i="3" s="1"/>
  <c r="I19" i="3"/>
  <c r="J19" i="3" s="1"/>
  <c r="I20" i="3"/>
  <c r="J20" i="3" s="1"/>
  <c r="I21" i="3"/>
  <c r="J21" i="3"/>
  <c r="I22" i="3"/>
  <c r="J22" i="3" s="1"/>
  <c r="I23" i="3"/>
  <c r="J23" i="3" s="1"/>
  <c r="I24" i="3"/>
  <c r="I25" i="3"/>
  <c r="J25" i="3" s="1"/>
  <c r="I26" i="3"/>
  <c r="J26" i="3" s="1"/>
  <c r="I27" i="3"/>
  <c r="J27" i="3" s="1"/>
  <c r="I28" i="3"/>
  <c r="I29" i="3"/>
  <c r="J29" i="3" s="1"/>
  <c r="I30" i="3"/>
  <c r="J30" i="3" s="1"/>
  <c r="I32" i="3"/>
  <c r="I33" i="3"/>
  <c r="J33" i="3" s="1"/>
  <c r="I34" i="3"/>
  <c r="J34" i="3" s="1"/>
  <c r="I35" i="3"/>
  <c r="J35" i="3" s="1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12" i="3"/>
  <c r="D13" i="3"/>
  <c r="E13" i="3"/>
  <c r="I13" i="3"/>
  <c r="J13" i="3" s="1"/>
  <c r="B14" i="3"/>
  <c r="D14" i="3" s="1"/>
  <c r="E14" i="3"/>
  <c r="B15" i="3"/>
  <c r="D15" i="3" s="1"/>
  <c r="E15" i="3"/>
  <c r="B16" i="3"/>
  <c r="D16" i="3" s="1"/>
  <c r="E16" i="3"/>
  <c r="J16" i="3"/>
  <c r="B17" i="3"/>
  <c r="D17" i="3" s="1"/>
  <c r="E17" i="3"/>
  <c r="B18" i="3"/>
  <c r="D18" i="3" s="1"/>
  <c r="E18" i="3"/>
  <c r="M18" i="3"/>
  <c r="B19" i="3"/>
  <c r="D19" i="3" s="1"/>
  <c r="E19" i="3"/>
  <c r="B20" i="3"/>
  <c r="D20" i="3" s="1"/>
  <c r="E20" i="3"/>
  <c r="B21" i="3"/>
  <c r="D21" i="3" s="1"/>
  <c r="E21" i="3"/>
  <c r="M21" i="3"/>
  <c r="B22" i="3"/>
  <c r="D22" i="3" s="1"/>
  <c r="E22" i="3"/>
  <c r="M22" i="3"/>
  <c r="B23" i="3"/>
  <c r="D23" i="3" s="1"/>
  <c r="E23" i="3"/>
  <c r="B24" i="3"/>
  <c r="D24" i="3" s="1"/>
  <c r="E24" i="3"/>
  <c r="J24" i="3"/>
  <c r="B25" i="3"/>
  <c r="D25" i="3" s="1"/>
  <c r="E25" i="3"/>
  <c r="M25" i="3"/>
  <c r="B26" i="3"/>
  <c r="D26" i="3" s="1"/>
  <c r="E26" i="3"/>
  <c r="B27" i="3"/>
  <c r="D27" i="3" s="1"/>
  <c r="E27" i="3"/>
  <c r="M27" i="3"/>
  <c r="B28" i="3"/>
  <c r="D28" i="3" s="1"/>
  <c r="E28" i="3"/>
  <c r="J28" i="3"/>
  <c r="B29" i="3"/>
  <c r="D29" i="3" s="1"/>
  <c r="E29" i="3"/>
  <c r="B30" i="3"/>
  <c r="D30" i="3" s="1"/>
  <c r="E30" i="3"/>
  <c r="M30" i="3"/>
  <c r="B31" i="3"/>
  <c r="D31" i="3" s="1"/>
  <c r="E31" i="3"/>
  <c r="M31" i="3"/>
  <c r="B32" i="3"/>
  <c r="D32" i="3" s="1"/>
  <c r="E32" i="3"/>
  <c r="J32" i="3"/>
  <c r="B33" i="3"/>
  <c r="D33" i="3" s="1"/>
  <c r="E33" i="3"/>
  <c r="B34" i="3"/>
  <c r="D34" i="3" s="1"/>
  <c r="E34" i="3"/>
  <c r="B35" i="3"/>
  <c r="D35" i="3" s="1"/>
  <c r="E35" i="3"/>
  <c r="B36" i="3"/>
  <c r="D36" i="3" s="1"/>
  <c r="E36" i="3"/>
  <c r="J36" i="3"/>
  <c r="I12" i="3"/>
  <c r="J12" i="3" s="1"/>
  <c r="B12" i="3"/>
  <c r="D12" i="3" s="1"/>
  <c r="E12" i="3"/>
  <c r="T3" i="9"/>
  <c r="U3" i="9" s="1"/>
  <c r="S4" i="9"/>
  <c r="T4" i="9"/>
  <c r="U4" i="9" s="1"/>
  <c r="T5" i="9"/>
  <c r="U5" i="9" s="1"/>
  <c r="S6" i="9"/>
  <c r="T6" i="9"/>
  <c r="U6" i="9" s="1"/>
  <c r="T7" i="9"/>
  <c r="U7" i="9" s="1"/>
  <c r="S8" i="9"/>
  <c r="T8" i="9"/>
  <c r="U8" i="9" s="1"/>
  <c r="T9" i="9"/>
  <c r="U9" i="9" s="1"/>
  <c r="S10" i="9"/>
  <c r="T10" i="9"/>
  <c r="U10" i="9" s="1"/>
  <c r="T11" i="9"/>
  <c r="U11" i="9" s="1"/>
  <c r="S12" i="9"/>
  <c r="T12" i="9"/>
  <c r="U12" i="9" s="1"/>
  <c r="T13" i="9"/>
  <c r="U13" i="9" s="1"/>
  <c r="S14" i="9"/>
  <c r="T14" i="9"/>
  <c r="U14" i="9" s="1"/>
  <c r="T15" i="9"/>
  <c r="U15" i="9" s="1"/>
  <c r="S16" i="9"/>
  <c r="T16" i="9"/>
  <c r="U16" i="9" s="1"/>
  <c r="S17" i="9"/>
  <c r="T17" i="9"/>
  <c r="U17" i="9" s="1"/>
  <c r="S18" i="9"/>
  <c r="T18" i="9"/>
  <c r="U18" i="9" s="1"/>
  <c r="S19" i="9"/>
  <c r="T19" i="9"/>
  <c r="U19" i="9" s="1"/>
  <c r="S20" i="9"/>
  <c r="T20" i="9"/>
  <c r="U20" i="9" s="1"/>
  <c r="S21" i="9"/>
  <c r="T21" i="9"/>
  <c r="U21" i="9"/>
  <c r="S22" i="9"/>
  <c r="T22" i="9"/>
  <c r="U22" i="9" s="1"/>
  <c r="S23" i="9"/>
  <c r="T23" i="9"/>
  <c r="U23" i="9" s="1"/>
  <c r="S24" i="9"/>
  <c r="T24" i="9"/>
  <c r="U24" i="9" s="1"/>
  <c r="S25" i="9"/>
  <c r="T25" i="9"/>
  <c r="U25" i="9"/>
  <c r="S26" i="9"/>
  <c r="T26" i="9"/>
  <c r="U26" i="9" s="1"/>
  <c r="T2" i="9"/>
  <c r="U2" i="9" s="1"/>
  <c r="AX2" i="9"/>
  <c r="BC2" i="9"/>
  <c r="BD2" i="9"/>
  <c r="BE2" i="9"/>
  <c r="BF2" i="9"/>
  <c r="BG2" i="9"/>
  <c r="BH2" i="9"/>
  <c r="BI2" i="9"/>
  <c r="E7" i="9"/>
  <c r="E4" i="9"/>
  <c r="E3" i="9"/>
  <c r="E5" i="9"/>
  <c r="E6" i="9"/>
  <c r="E8" i="9"/>
  <c r="E9" i="9"/>
  <c r="E10" i="9"/>
  <c r="E11" i="9"/>
  <c r="E12" i="9"/>
  <c r="E13" i="9"/>
  <c r="E15" i="9"/>
  <c r="E16" i="9"/>
  <c r="E17" i="9"/>
  <c r="E18" i="9"/>
  <c r="E19" i="9"/>
  <c r="E20" i="9"/>
  <c r="E21" i="9"/>
  <c r="E22" i="9"/>
  <c r="E23" i="9"/>
  <c r="E24" i="9"/>
  <c r="E25" i="9"/>
  <c r="E26" i="9"/>
  <c r="E2" i="9"/>
  <c r="C3" i="9"/>
  <c r="G3" i="9" s="1"/>
  <c r="C4" i="9"/>
  <c r="G4" i="9" s="1"/>
  <c r="C5" i="9"/>
  <c r="G5" i="9" s="1"/>
  <c r="C6" i="9"/>
  <c r="G6" i="9" s="1"/>
  <c r="C7" i="9"/>
  <c r="G7" i="9" s="1"/>
  <c r="C8" i="9"/>
  <c r="G8" i="9" s="1"/>
  <c r="C9" i="9"/>
  <c r="G9" i="9" s="1"/>
  <c r="C10" i="9"/>
  <c r="G10" i="9" s="1"/>
  <c r="C11" i="9"/>
  <c r="G11" i="9" s="1"/>
  <c r="C12" i="9"/>
  <c r="G12" i="9"/>
  <c r="C13" i="9"/>
  <c r="C14" i="9"/>
  <c r="G14" i="9" s="1"/>
  <c r="C15" i="9"/>
  <c r="G15" i="9" s="1"/>
  <c r="C16" i="9"/>
  <c r="G16" i="9" s="1"/>
  <c r="C17" i="9"/>
  <c r="G17" i="9" s="1"/>
  <c r="C18" i="9"/>
  <c r="G18" i="9" s="1"/>
  <c r="C19" i="9"/>
  <c r="G19" i="9" s="1"/>
  <c r="C20" i="9"/>
  <c r="G20" i="9" s="1"/>
  <c r="C21" i="9"/>
  <c r="G21" i="9" s="1"/>
  <c r="C22" i="9"/>
  <c r="G22" i="9" s="1"/>
  <c r="C23" i="9"/>
  <c r="C24" i="9"/>
  <c r="G24" i="9" s="1"/>
  <c r="C25" i="9"/>
  <c r="G25" i="9"/>
  <c r="C26" i="9"/>
  <c r="G26" i="9" s="1"/>
  <c r="C2" i="9"/>
  <c r="G2" i="9" s="1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" i="9"/>
  <c r="K19" i="9"/>
  <c r="L19" i="9" s="1"/>
  <c r="H3" i="9"/>
  <c r="H4" i="9"/>
  <c r="H5" i="9"/>
  <c r="H6" i="9"/>
  <c r="H7" i="9"/>
  <c r="H8" i="9"/>
  <c r="H9" i="9"/>
  <c r="H10" i="9"/>
  <c r="H11" i="9"/>
  <c r="H12" i="9"/>
  <c r="G13" i="9"/>
  <c r="H13" i="9"/>
  <c r="H14" i="9"/>
  <c r="H15" i="9"/>
  <c r="H16" i="9"/>
  <c r="H17" i="9"/>
  <c r="H18" i="9"/>
  <c r="H19" i="9"/>
  <c r="H20" i="9"/>
  <c r="H21" i="9"/>
  <c r="H22" i="9"/>
  <c r="G23" i="9"/>
  <c r="H23" i="9"/>
  <c r="H24" i="9"/>
  <c r="H25" i="9"/>
  <c r="H26" i="9"/>
  <c r="S2" i="9"/>
  <c r="H2" i="9"/>
  <c r="O15" i="5"/>
  <c r="R16" i="5"/>
  <c r="L16" i="5"/>
  <c r="B5" i="1"/>
  <c r="AT3" i="9" l="1"/>
  <c r="K22" i="9"/>
  <c r="L22" i="9" s="1"/>
  <c r="K16" i="9"/>
  <c r="L16" i="9" s="1"/>
  <c r="AY2" i="9"/>
  <c r="O16" i="5"/>
  <c r="P13" i="5"/>
  <c r="B7" i="3"/>
  <c r="BA2" i="9"/>
  <c r="K17" i="9"/>
  <c r="L17" i="9" s="1"/>
  <c r="K15" i="9"/>
  <c r="L15" i="9" s="1"/>
  <c r="K5" i="9"/>
  <c r="L5" i="9" s="1"/>
  <c r="G11" i="12"/>
  <c r="R15" i="5"/>
  <c r="AN5" i="9"/>
  <c r="R13" i="5"/>
  <c r="K39" i="3"/>
  <c r="K41" i="3"/>
  <c r="AB8" i="1"/>
  <c r="AE8" i="1" s="1"/>
  <c r="O3" i="16"/>
  <c r="S3" i="16"/>
  <c r="T3" i="16"/>
  <c r="O13" i="5"/>
  <c r="H39" i="3" s="1"/>
  <c r="AB11" i="1"/>
  <c r="AE11" i="1" s="1"/>
  <c r="AB25" i="1"/>
  <c r="AE25" i="1" s="1"/>
  <c r="L2" i="15"/>
  <c r="L3" i="15"/>
  <c r="L4" i="15"/>
  <c r="L5" i="15"/>
  <c r="P3" i="16"/>
  <c r="N3" i="16"/>
  <c r="J1" i="3"/>
  <c r="AH9" i="1"/>
  <c r="U9" i="1" s="1"/>
  <c r="AH11" i="1"/>
  <c r="U11" i="1" s="1"/>
  <c r="AB27" i="1"/>
  <c r="AE27" i="1" s="1"/>
  <c r="AB24" i="1"/>
  <c r="AE24" i="1" s="1"/>
  <c r="AB17" i="1"/>
  <c r="AE17" i="1" s="1"/>
  <c r="AB22" i="1"/>
  <c r="AE22" i="1" s="1"/>
  <c r="AH10" i="1"/>
  <c r="U10" i="1" s="1"/>
  <c r="AB33" i="1"/>
  <c r="AB32" i="1"/>
  <c r="AE32" i="1" s="1"/>
  <c r="AB30" i="1"/>
  <c r="AE30" i="1" s="1"/>
  <c r="AB19" i="1"/>
  <c r="AE19" i="1" s="1"/>
  <c r="AB16" i="1"/>
  <c r="AE16" i="1" s="1"/>
  <c r="AB14" i="1"/>
  <c r="AE14" i="1" s="1"/>
  <c r="AB13" i="1"/>
  <c r="AE13" i="1" s="1"/>
  <c r="AH8" i="1"/>
  <c r="U8" i="1" s="1"/>
  <c r="AB34" i="1"/>
  <c r="AB31" i="1"/>
  <c r="AE31" i="1" s="1"/>
  <c r="AB29" i="1"/>
  <c r="AE29" i="1" s="1"/>
  <c r="AB28" i="1"/>
  <c r="AE28" i="1" s="1"/>
  <c r="AB26" i="1"/>
  <c r="AE26" i="1" s="1"/>
  <c r="AB23" i="1"/>
  <c r="AE23" i="1" s="1"/>
  <c r="AB21" i="1"/>
  <c r="AE21" i="1" s="1"/>
  <c r="AB20" i="1"/>
  <c r="AE20" i="1" s="1"/>
  <c r="AB18" i="1"/>
  <c r="AE18" i="1" s="1"/>
  <c r="AB15" i="1"/>
  <c r="AE15" i="1" s="1"/>
  <c r="AB12" i="1"/>
  <c r="AE12" i="1" s="1"/>
  <c r="AB10" i="1"/>
  <c r="AE10" i="1" s="1"/>
  <c r="U14" i="5"/>
  <c r="U15" i="5"/>
  <c r="U13" i="5"/>
  <c r="R14" i="5"/>
  <c r="F3" i="14"/>
  <c r="H3" i="14"/>
  <c r="K9" i="15"/>
  <c r="L9" i="15" s="1"/>
  <c r="K25" i="15"/>
  <c r="L25" i="15" s="1"/>
  <c r="AO3" i="9"/>
  <c r="K11" i="9"/>
  <c r="L11" i="9" s="1"/>
  <c r="K26" i="9"/>
  <c r="L26" i="9" s="1"/>
  <c r="K8" i="9"/>
  <c r="L8" i="9" s="1"/>
  <c r="K4" i="9"/>
  <c r="L4" i="9" s="1"/>
  <c r="J3" i="14"/>
  <c r="AV3" i="9"/>
  <c r="K24" i="9"/>
  <c r="L24" i="9" s="1"/>
  <c r="K3" i="9"/>
  <c r="L3" i="9" s="1"/>
  <c r="K2" i="9"/>
  <c r="L2" i="9" s="1"/>
  <c r="I4" i="14"/>
  <c r="F4" i="14"/>
  <c r="C4" i="14"/>
  <c r="H4" i="14"/>
  <c r="J4" i="14"/>
  <c r="AO2" i="9"/>
  <c r="AU2" i="9"/>
  <c r="AV2" i="9"/>
  <c r="AT2" i="9"/>
  <c r="G10" i="12"/>
  <c r="N2" i="14"/>
  <c r="O2" i="14"/>
  <c r="I3" i="14"/>
  <c r="H5" i="14"/>
  <c r="C3" i="14"/>
  <c r="B2" i="14"/>
  <c r="B2" i="16"/>
  <c r="I5" i="14"/>
  <c r="B6" i="3"/>
  <c r="AZ2" i="9"/>
  <c r="K10" i="9"/>
  <c r="L10" i="9" s="1"/>
  <c r="AN4" i="9"/>
  <c r="J5" i="14"/>
  <c r="C5" i="14"/>
  <c r="C2" i="3"/>
  <c r="B17" i="12"/>
  <c r="AU5" i="9" l="1"/>
  <c r="AT5" i="9"/>
  <c r="AO5" i="9"/>
  <c r="AV5" i="9"/>
  <c r="T5" i="1"/>
  <c r="S5" i="1" s="1"/>
  <c r="H2" i="14"/>
  <c r="C2" i="14"/>
  <c r="J2" i="14"/>
  <c r="F2" i="14"/>
  <c r="I2" i="14"/>
  <c r="AT4" i="9"/>
  <c r="AU4" i="9"/>
  <c r="AO4" i="9"/>
  <c r="AV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Miyaki Hideki</author>
  </authors>
  <commentList>
    <comment ref="AO2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" authorId="0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3" authorId="0" shapeId="0" xr:uid="{00000000-0006-0000-01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3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3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3" authorId="0" shapeId="0" xr:uid="{00000000-0006-0000-01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3" authorId="0" shapeId="0" xr:uid="{00000000-0006-0000-01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3" authorId="0" shapeId="0" xr:uid="{00000000-0006-0000-0100-00000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3" authorId="0" shapeId="0" xr:uid="{00000000-0006-0000-0100-00000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3" authorId="0" shapeId="0" xr:uid="{00000000-0006-0000-01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3" authorId="0" shapeId="0" xr:uid="{00000000-0006-0000-01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4" authorId="0" shapeId="0" xr:uid="{00000000-0006-0000-01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4" authorId="0" shapeId="0" xr:uid="{00000000-0006-0000-01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4" authorId="0" shapeId="0" xr:uid="{00000000-0006-0000-01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4" authorId="0" shapeId="0" xr:uid="{00000000-0006-0000-01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4" authorId="0" shapeId="0" xr:uid="{00000000-0006-0000-0100-00001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4" authorId="0" shapeId="0" xr:uid="{00000000-0006-0000-0100-00001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4" authorId="0" shapeId="0" xr:uid="{00000000-0006-0000-0100-00001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4" authorId="0" shapeId="0" xr:uid="{00000000-0006-0000-0100-00001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4" authorId="0" shapeId="0" xr:uid="{00000000-0006-0000-0100-00001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5" authorId="0" shapeId="0" xr:uid="{00000000-0006-0000-0100-00001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5" authorId="0" shapeId="0" xr:uid="{00000000-0006-0000-0100-00001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5" authorId="0" shapeId="0" xr:uid="{00000000-0006-0000-0100-00001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5" authorId="0" shapeId="0" xr:uid="{00000000-0006-0000-0100-00001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5" authorId="0" shapeId="0" xr:uid="{00000000-0006-0000-0100-00001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5" authorId="0" shapeId="0" xr:uid="{00000000-0006-0000-0100-00001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5" authorId="0" shapeId="0" xr:uid="{00000000-0006-0000-0100-00001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5" authorId="0" shapeId="0" xr:uid="{00000000-0006-0000-0100-00001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5" authorId="0" shapeId="0" xr:uid="{00000000-0006-0000-0100-00001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6" authorId="0" shapeId="0" xr:uid="{00000000-0006-0000-0100-00001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6" authorId="0" shapeId="0" xr:uid="{00000000-0006-0000-0100-00002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6" authorId="0" shapeId="0" xr:uid="{00000000-0006-0000-0100-00002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6" authorId="0" shapeId="0" xr:uid="{00000000-0006-0000-0100-00002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6" authorId="0" shapeId="0" xr:uid="{00000000-0006-0000-0100-00002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6" authorId="0" shapeId="0" xr:uid="{00000000-0006-0000-0100-00002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6" authorId="0" shapeId="0" xr:uid="{00000000-0006-0000-0100-00002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6" authorId="0" shapeId="0" xr:uid="{00000000-0006-0000-0100-00002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6" authorId="0" shapeId="0" xr:uid="{00000000-0006-0000-0100-00002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7" authorId="0" shapeId="0" xr:uid="{00000000-0006-0000-0100-00002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7" authorId="0" shapeId="0" xr:uid="{00000000-0006-0000-0100-00002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7" authorId="0" shapeId="0" xr:uid="{00000000-0006-0000-0100-00002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7" authorId="0" shapeId="0" xr:uid="{00000000-0006-0000-0100-00002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7" authorId="0" shapeId="0" xr:uid="{00000000-0006-0000-0100-00002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7" authorId="0" shapeId="0" xr:uid="{00000000-0006-0000-0100-00002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7" authorId="0" shapeId="0" xr:uid="{00000000-0006-0000-0100-00002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7" authorId="0" shapeId="0" xr:uid="{00000000-0006-0000-0100-00002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7" authorId="0" shapeId="0" xr:uid="{00000000-0006-0000-0100-00003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B8" authorId="0" shapeId="0" xr:uid="{00000000-0006-0000-0100-000031000000}">
      <text>
        <r>
          <rPr>
            <sz val="10"/>
            <color indexed="81"/>
            <rFont val="ＭＳ ゴシック"/>
            <family val="3"/>
            <charset val="128"/>
          </rPr>
          <t>名前は空白も含めて
全角５文字になるように
入力して下さい
例　
備南ひがし：○　備南　ひがし：×
（５文字）　　　（６文字）
備南　　東：○　備南　東：×
（５文字）　　　（４文字）
６文字の生徒の場合は空白を入れずに６文字で入力してください</t>
        </r>
      </text>
    </comment>
    <comment ref="AO8" authorId="0" shapeId="0" xr:uid="{00000000-0006-0000-0100-00003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8" authorId="0" shapeId="0" xr:uid="{00000000-0006-0000-0100-00003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8" authorId="0" shapeId="0" xr:uid="{00000000-0006-0000-0100-00003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8" authorId="0" shapeId="0" xr:uid="{00000000-0006-0000-0100-00003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8" authorId="0" shapeId="0" xr:uid="{00000000-0006-0000-0100-00003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8" authorId="0" shapeId="0" xr:uid="{00000000-0006-0000-0100-00003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8" authorId="0" shapeId="0" xr:uid="{00000000-0006-0000-0100-00003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8" authorId="0" shapeId="0" xr:uid="{00000000-0006-0000-0100-00003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8" authorId="0" shapeId="0" xr:uid="{00000000-0006-0000-0100-00003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9" authorId="0" shapeId="0" xr:uid="{00000000-0006-0000-0100-00003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9" authorId="0" shapeId="0" xr:uid="{00000000-0006-0000-0100-00003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9" authorId="0" shapeId="0" xr:uid="{00000000-0006-0000-0100-00003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9" authorId="0" shapeId="0" xr:uid="{00000000-0006-0000-0100-00003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9" authorId="0" shapeId="0" xr:uid="{00000000-0006-0000-0100-00003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9" authorId="0" shapeId="0" xr:uid="{00000000-0006-0000-0100-00004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9" authorId="0" shapeId="0" xr:uid="{00000000-0006-0000-0100-00004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9" authorId="0" shapeId="0" xr:uid="{00000000-0006-0000-0100-00004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9" authorId="0" shapeId="0" xr:uid="{00000000-0006-0000-0100-00004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0" authorId="0" shapeId="0" xr:uid="{00000000-0006-0000-0100-00004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0" authorId="0" shapeId="0" xr:uid="{00000000-0006-0000-0100-00004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0" authorId="0" shapeId="0" xr:uid="{00000000-0006-0000-0100-00004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0" authorId="0" shapeId="0" xr:uid="{00000000-0006-0000-0100-00004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0" authorId="0" shapeId="0" xr:uid="{00000000-0006-0000-0100-00004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0" authorId="0" shapeId="0" xr:uid="{00000000-0006-0000-0100-00004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0" authorId="0" shapeId="0" xr:uid="{00000000-0006-0000-0100-00004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0" authorId="0" shapeId="0" xr:uid="{00000000-0006-0000-0100-00004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0" authorId="0" shapeId="0" xr:uid="{00000000-0006-0000-0100-00004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1" authorId="0" shapeId="0" xr:uid="{00000000-0006-0000-0100-00004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1" authorId="0" shapeId="0" xr:uid="{00000000-0006-0000-0100-00004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1" authorId="0" shapeId="0" xr:uid="{00000000-0006-0000-0100-00004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1" authorId="0" shapeId="0" xr:uid="{00000000-0006-0000-0100-00005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1" authorId="0" shapeId="0" xr:uid="{00000000-0006-0000-0100-00005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1" authorId="0" shapeId="0" xr:uid="{00000000-0006-0000-0100-00005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1" authorId="0" shapeId="0" xr:uid="{00000000-0006-0000-0100-00005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1" authorId="0" shapeId="0" xr:uid="{00000000-0006-0000-0100-00005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1" authorId="0" shapeId="0" xr:uid="{00000000-0006-0000-0100-00005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2" authorId="0" shapeId="0" xr:uid="{00000000-0006-0000-0100-00005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2" authorId="0" shapeId="0" xr:uid="{00000000-0006-0000-0100-00005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2" authorId="0" shapeId="0" xr:uid="{00000000-0006-0000-0100-00005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2" authorId="0" shapeId="0" xr:uid="{00000000-0006-0000-0100-00005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2" authorId="0" shapeId="0" xr:uid="{00000000-0006-0000-0100-00005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2" authorId="0" shapeId="0" xr:uid="{00000000-0006-0000-0100-00005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2" authorId="0" shapeId="0" xr:uid="{00000000-0006-0000-0100-00005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2" authorId="0" shapeId="0" xr:uid="{00000000-0006-0000-0100-00005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2" authorId="0" shapeId="0" xr:uid="{00000000-0006-0000-0100-00005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3" authorId="0" shapeId="0" xr:uid="{00000000-0006-0000-0100-00005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3" authorId="0" shapeId="0" xr:uid="{00000000-0006-0000-0100-00006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3" authorId="0" shapeId="0" xr:uid="{00000000-0006-0000-0100-00006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3" authorId="0" shapeId="0" xr:uid="{00000000-0006-0000-0100-00006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3" authorId="0" shapeId="0" xr:uid="{00000000-0006-0000-0100-00006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3" authorId="0" shapeId="0" xr:uid="{00000000-0006-0000-0100-00006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3" authorId="0" shapeId="0" xr:uid="{00000000-0006-0000-0100-00006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3" authorId="0" shapeId="0" xr:uid="{00000000-0006-0000-0100-00006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3" authorId="0" shapeId="0" xr:uid="{00000000-0006-0000-0100-00006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4" authorId="0" shapeId="0" xr:uid="{00000000-0006-0000-0100-00006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4" authorId="0" shapeId="0" xr:uid="{00000000-0006-0000-0100-00006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4" authorId="0" shapeId="0" xr:uid="{00000000-0006-0000-0100-00006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4" authorId="0" shapeId="0" xr:uid="{00000000-0006-0000-0100-00006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4" authorId="0" shapeId="0" xr:uid="{00000000-0006-0000-0100-00006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4" authorId="0" shapeId="0" xr:uid="{00000000-0006-0000-0100-00006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4" authorId="0" shapeId="0" xr:uid="{00000000-0006-0000-0100-00006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4" authorId="0" shapeId="0" xr:uid="{00000000-0006-0000-0100-00006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4" authorId="0" shapeId="0" xr:uid="{00000000-0006-0000-0100-00007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5" authorId="0" shapeId="0" xr:uid="{00000000-0006-0000-0100-00007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5" authorId="0" shapeId="0" xr:uid="{00000000-0006-0000-0100-00007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5" authorId="0" shapeId="0" xr:uid="{00000000-0006-0000-0100-00007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5" authorId="0" shapeId="0" xr:uid="{00000000-0006-0000-0100-00007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5" authorId="0" shapeId="0" xr:uid="{00000000-0006-0000-0100-00007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5" authorId="0" shapeId="0" xr:uid="{00000000-0006-0000-0100-00007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5" authorId="0" shapeId="0" xr:uid="{00000000-0006-0000-0100-00007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5" authorId="0" shapeId="0" xr:uid="{00000000-0006-0000-0100-00007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5" authorId="0" shapeId="0" xr:uid="{00000000-0006-0000-0100-00007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6" authorId="0" shapeId="0" xr:uid="{00000000-0006-0000-0100-00007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6" authorId="0" shapeId="0" xr:uid="{00000000-0006-0000-0100-00007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6" authorId="0" shapeId="0" xr:uid="{00000000-0006-0000-0100-00007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7" authorId="0" shapeId="0" xr:uid="{00000000-0006-0000-0100-00007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7" authorId="0" shapeId="0" xr:uid="{00000000-0006-0000-0100-00007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7" authorId="0" shapeId="0" xr:uid="{00000000-0006-0000-0100-00007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7" authorId="0" shapeId="0" xr:uid="{00000000-0006-0000-0100-00008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7" authorId="0" shapeId="0" xr:uid="{00000000-0006-0000-0100-00008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7" authorId="0" shapeId="0" xr:uid="{00000000-0006-0000-0100-00008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7" authorId="0" shapeId="0" xr:uid="{00000000-0006-0000-0100-00008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7" authorId="0" shapeId="0" xr:uid="{00000000-0006-0000-0100-00008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7" authorId="0" shapeId="0" xr:uid="{00000000-0006-0000-0100-00008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8" authorId="0" shapeId="0" xr:uid="{00000000-0006-0000-0100-00008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8" authorId="0" shapeId="0" xr:uid="{00000000-0006-0000-0100-00008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8" authorId="0" shapeId="0" xr:uid="{00000000-0006-0000-0100-00008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8" authorId="0" shapeId="0" xr:uid="{00000000-0006-0000-0100-00008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8" authorId="0" shapeId="0" xr:uid="{00000000-0006-0000-0100-00008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8" authorId="0" shapeId="0" xr:uid="{00000000-0006-0000-0100-00008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8" authorId="0" shapeId="0" xr:uid="{00000000-0006-0000-0100-00008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8" authorId="0" shapeId="0" xr:uid="{00000000-0006-0000-0100-00008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8" authorId="0" shapeId="0" xr:uid="{00000000-0006-0000-0100-00008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19" authorId="0" shapeId="0" xr:uid="{00000000-0006-0000-0100-00008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19" authorId="0" shapeId="0" xr:uid="{00000000-0006-0000-0100-00009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19" authorId="0" shapeId="0" xr:uid="{00000000-0006-0000-0100-00009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19" authorId="0" shapeId="0" xr:uid="{00000000-0006-0000-0100-00009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19" authorId="0" shapeId="0" xr:uid="{00000000-0006-0000-0100-00009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19" authorId="0" shapeId="0" xr:uid="{00000000-0006-0000-0100-00009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19" authorId="0" shapeId="0" xr:uid="{00000000-0006-0000-0100-00009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19" authorId="0" shapeId="0" xr:uid="{00000000-0006-0000-0100-00009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19" authorId="0" shapeId="0" xr:uid="{00000000-0006-0000-0100-00009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0" authorId="0" shapeId="0" xr:uid="{00000000-0006-0000-0100-00009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0" authorId="0" shapeId="0" xr:uid="{00000000-0006-0000-0100-00009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0" authorId="0" shapeId="0" xr:uid="{00000000-0006-0000-0100-00009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0" authorId="0" shapeId="0" xr:uid="{00000000-0006-0000-0100-00009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0" authorId="0" shapeId="0" xr:uid="{00000000-0006-0000-0100-00009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0" authorId="0" shapeId="0" xr:uid="{00000000-0006-0000-0100-00009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0" authorId="0" shapeId="0" xr:uid="{00000000-0006-0000-0100-00009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0" authorId="0" shapeId="0" xr:uid="{00000000-0006-0000-0100-00009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0" authorId="0" shapeId="0" xr:uid="{00000000-0006-0000-0100-0000A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1" authorId="0" shapeId="0" xr:uid="{00000000-0006-0000-0100-0000A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1" authorId="0" shapeId="0" xr:uid="{00000000-0006-0000-0100-0000A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1" authorId="0" shapeId="0" xr:uid="{00000000-0006-0000-0100-0000A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1" authorId="0" shapeId="0" xr:uid="{00000000-0006-0000-0100-0000A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1" authorId="0" shapeId="0" xr:uid="{00000000-0006-0000-0100-0000A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1" authorId="0" shapeId="0" xr:uid="{00000000-0006-0000-0100-0000A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1" authorId="0" shapeId="0" xr:uid="{00000000-0006-0000-0100-0000A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1" authorId="0" shapeId="0" xr:uid="{00000000-0006-0000-0100-0000A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1" authorId="0" shapeId="0" xr:uid="{00000000-0006-0000-0100-0000A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2" authorId="0" shapeId="0" xr:uid="{00000000-0006-0000-0100-0000A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2" authorId="0" shapeId="0" xr:uid="{00000000-0006-0000-0100-0000A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2" authorId="0" shapeId="0" xr:uid="{00000000-0006-0000-0100-0000A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2" authorId="0" shapeId="0" xr:uid="{00000000-0006-0000-0100-0000A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2" authorId="0" shapeId="0" xr:uid="{00000000-0006-0000-0100-0000A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2" authorId="0" shapeId="0" xr:uid="{00000000-0006-0000-0100-0000A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2" authorId="0" shapeId="0" xr:uid="{00000000-0006-0000-0100-0000B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2" authorId="0" shapeId="0" xr:uid="{00000000-0006-0000-0100-0000B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2" authorId="0" shapeId="0" xr:uid="{00000000-0006-0000-0100-0000B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3" authorId="0" shapeId="0" xr:uid="{00000000-0006-0000-0100-0000B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3" authorId="0" shapeId="0" xr:uid="{00000000-0006-0000-0100-0000B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3" authorId="0" shapeId="0" xr:uid="{00000000-0006-0000-0100-0000B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3" authorId="0" shapeId="0" xr:uid="{00000000-0006-0000-0100-0000B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3" authorId="0" shapeId="0" xr:uid="{00000000-0006-0000-0100-0000B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3" authorId="0" shapeId="0" xr:uid="{00000000-0006-0000-0100-0000B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3" authorId="0" shapeId="0" xr:uid="{00000000-0006-0000-0100-0000B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3" authorId="0" shapeId="0" xr:uid="{00000000-0006-0000-0100-0000B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3" authorId="0" shapeId="0" xr:uid="{00000000-0006-0000-0100-0000B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4" authorId="0" shapeId="0" xr:uid="{00000000-0006-0000-0100-0000B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4" authorId="0" shapeId="0" xr:uid="{00000000-0006-0000-0100-0000B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4" authorId="0" shapeId="0" xr:uid="{00000000-0006-0000-0100-0000B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4" authorId="0" shapeId="0" xr:uid="{00000000-0006-0000-0100-0000B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4" authorId="0" shapeId="0" xr:uid="{00000000-0006-0000-0100-0000C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4" authorId="0" shapeId="0" xr:uid="{00000000-0006-0000-0100-0000C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4" authorId="0" shapeId="0" xr:uid="{00000000-0006-0000-0100-0000C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4" authorId="0" shapeId="0" xr:uid="{00000000-0006-0000-0100-0000C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4" authorId="0" shapeId="0" xr:uid="{00000000-0006-0000-0100-0000C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5" authorId="0" shapeId="0" xr:uid="{00000000-0006-0000-0100-0000C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5" authorId="0" shapeId="0" xr:uid="{00000000-0006-0000-0100-0000C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5" authorId="0" shapeId="0" xr:uid="{00000000-0006-0000-0100-0000C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6" authorId="0" shapeId="0" xr:uid="{00000000-0006-0000-0100-0000C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6" authorId="0" shapeId="0" xr:uid="{00000000-0006-0000-0100-0000C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6" authorId="0" shapeId="0" xr:uid="{00000000-0006-0000-0100-0000C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6" authorId="0" shapeId="0" xr:uid="{00000000-0006-0000-0100-0000C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6" authorId="0" shapeId="0" xr:uid="{00000000-0006-0000-0100-0000C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6" authorId="0" shapeId="0" xr:uid="{00000000-0006-0000-0100-0000C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6" authorId="0" shapeId="0" xr:uid="{00000000-0006-0000-0100-0000C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6" authorId="0" shapeId="0" xr:uid="{00000000-0006-0000-0100-0000C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6" authorId="0" shapeId="0" xr:uid="{00000000-0006-0000-0100-0000D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7" authorId="0" shapeId="0" xr:uid="{00000000-0006-0000-0100-0000D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7" authorId="0" shapeId="0" xr:uid="{00000000-0006-0000-0100-0000D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7" authorId="0" shapeId="0" xr:uid="{00000000-0006-0000-0100-0000D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7" authorId="0" shapeId="0" xr:uid="{00000000-0006-0000-0100-0000D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7" authorId="0" shapeId="0" xr:uid="{00000000-0006-0000-0100-0000D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7" authorId="0" shapeId="0" xr:uid="{00000000-0006-0000-0100-0000D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7" authorId="0" shapeId="0" xr:uid="{00000000-0006-0000-0100-0000D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7" authorId="0" shapeId="0" xr:uid="{00000000-0006-0000-0100-0000D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7" authorId="0" shapeId="0" xr:uid="{00000000-0006-0000-0100-0000D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8" authorId="0" shapeId="0" xr:uid="{00000000-0006-0000-0100-0000D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8" authorId="0" shapeId="0" xr:uid="{00000000-0006-0000-0100-0000D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8" authorId="0" shapeId="0" xr:uid="{00000000-0006-0000-0100-0000D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8" authorId="0" shapeId="0" xr:uid="{00000000-0006-0000-0100-0000D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8" authorId="0" shapeId="0" xr:uid="{00000000-0006-0000-0100-0000D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8" authorId="0" shapeId="0" xr:uid="{00000000-0006-0000-0100-0000D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8" authorId="0" shapeId="0" xr:uid="{00000000-0006-0000-0100-0000E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8" authorId="0" shapeId="0" xr:uid="{00000000-0006-0000-0100-0000E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8" authorId="0" shapeId="0" xr:uid="{00000000-0006-0000-0100-0000E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29" authorId="0" shapeId="0" xr:uid="{00000000-0006-0000-0100-0000E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29" authorId="0" shapeId="0" xr:uid="{00000000-0006-0000-0100-0000E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29" authorId="0" shapeId="0" xr:uid="{00000000-0006-0000-0100-0000E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29" authorId="0" shapeId="0" xr:uid="{00000000-0006-0000-0100-0000E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29" authorId="0" shapeId="0" xr:uid="{00000000-0006-0000-0100-0000E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29" authorId="0" shapeId="0" xr:uid="{00000000-0006-0000-0100-0000E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29" authorId="0" shapeId="0" xr:uid="{00000000-0006-0000-0100-0000E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29" authorId="0" shapeId="0" xr:uid="{00000000-0006-0000-0100-0000E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29" authorId="0" shapeId="0" xr:uid="{00000000-0006-0000-0100-0000E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30" authorId="0" shapeId="0" xr:uid="{00000000-0006-0000-0100-0000E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30" authorId="0" shapeId="0" xr:uid="{00000000-0006-0000-0100-0000E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30" authorId="0" shapeId="0" xr:uid="{00000000-0006-0000-0100-0000EE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30" authorId="0" shapeId="0" xr:uid="{00000000-0006-0000-0100-0000EF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30" authorId="0" shapeId="0" xr:uid="{00000000-0006-0000-0100-0000F0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30" authorId="0" shapeId="0" xr:uid="{00000000-0006-0000-0100-0000F1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30" authorId="0" shapeId="0" xr:uid="{00000000-0006-0000-0100-0000F2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30" authorId="0" shapeId="0" xr:uid="{00000000-0006-0000-0100-0000F3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30" authorId="0" shapeId="0" xr:uid="{00000000-0006-0000-0100-0000F4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O31" authorId="0" shapeId="0" xr:uid="{00000000-0006-0000-0100-0000F5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P31" authorId="0" shapeId="0" xr:uid="{00000000-0006-0000-0100-0000F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Q31" authorId="0" shapeId="0" xr:uid="{00000000-0006-0000-0100-0000F7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R31" authorId="0" shapeId="0" xr:uid="{00000000-0006-0000-0100-0000F8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S31" authorId="0" shapeId="0" xr:uid="{00000000-0006-0000-0100-0000F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T31" authorId="0" shapeId="0" xr:uid="{00000000-0006-0000-0100-0000FA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U31" authorId="0" shapeId="0" xr:uid="{00000000-0006-0000-0100-0000FB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V31" authorId="0" shapeId="0" xr:uid="{00000000-0006-0000-0100-0000FC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  <comment ref="AW31" authorId="0" shapeId="0" xr:uid="{00000000-0006-0000-0100-0000FD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ここは絶対に削除変更しない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NAOKI</author>
  </authors>
  <commentList>
    <comment ref="M9" authorId="0" shapeId="0" xr:uid="{00000000-0006-0000-0400-000001000000}">
      <text>
        <r>
          <rPr>
            <b/>
            <sz val="18"/>
            <color indexed="10"/>
            <rFont val="ＭＳ Ｐゴシック"/>
            <family val="3"/>
            <charset val="128"/>
          </rPr>
          <t>コーチが大会当日プールサイドに入られるかどうか生徒に聞いてください。入られる場合は基本データ外部コーチの欄に入力してこのページを印刷・押印し提出願います。</t>
        </r>
      </text>
    </comment>
  </commentList>
</comments>
</file>

<file path=xl/sharedStrings.xml><?xml version="1.0" encoding="utf-8"?>
<sst xmlns="http://schemas.openxmlformats.org/spreadsheetml/2006/main" count="740" uniqueCount="502">
  <si>
    <t>清心</t>
    <rPh sb="0" eb="2">
      <t>セイシン</t>
    </rPh>
    <phoneticPr fontId="4"/>
  </si>
  <si>
    <t>清心中学校</t>
  </si>
  <si>
    <t>701-0115</t>
  </si>
  <si>
    <t>倉敷市二子１２００</t>
  </si>
  <si>
    <t>086-462-1661</t>
  </si>
  <si>
    <t>ここで選択↑</t>
    <rPh sb="3" eb="5">
      <t>センタク</t>
    </rPh>
    <phoneticPr fontId="4"/>
  </si>
  <si>
    <t>男子</t>
  </si>
  <si>
    <t>06</t>
  </si>
  <si>
    <t>02</t>
  </si>
  <si>
    <t>2</t>
  </si>
  <si>
    <t>100</t>
  </si>
  <si>
    <t>月</t>
    <rPh sb="0" eb="1">
      <t>ガツ</t>
    </rPh>
    <phoneticPr fontId="5"/>
  </si>
  <si>
    <t>日</t>
    <rPh sb="0" eb="1">
      <t>ヒ</t>
    </rPh>
    <phoneticPr fontId="5"/>
  </si>
  <si>
    <t>学年</t>
    <phoneticPr fontId="5"/>
  </si>
  <si>
    <t>種目（１）</t>
    <rPh sb="0" eb="2">
      <t>シュモク</t>
    </rPh>
    <phoneticPr fontId="5"/>
  </si>
  <si>
    <t>距離</t>
    <rPh sb="0" eb="2">
      <t>キョリ</t>
    </rPh>
    <phoneticPr fontId="5"/>
  </si>
  <si>
    <t>分</t>
    <rPh sb="0" eb="1">
      <t>フン</t>
    </rPh>
    <phoneticPr fontId="5"/>
  </si>
  <si>
    <t>秒</t>
    <rPh sb="0" eb="1">
      <t>ビョウ</t>
    </rPh>
    <phoneticPr fontId="5"/>
  </si>
  <si>
    <t>種目（２）</t>
    <rPh sb="0" eb="2">
      <t>シュモク</t>
    </rPh>
    <phoneticPr fontId="5"/>
  </si>
  <si>
    <t>56</t>
    <phoneticPr fontId="4"/>
  </si>
  <si>
    <t>05</t>
    <phoneticPr fontId="4"/>
  </si>
  <si>
    <t>←入力例</t>
    <rPh sb="1" eb="4">
      <t>ニュウリョクレイ</t>
    </rPh>
    <phoneticPr fontId="4"/>
  </si>
  <si>
    <t>05</t>
    <phoneticPr fontId="4"/>
  </si>
  <si>
    <t>平泳ぎ</t>
  </si>
  <si>
    <t>学校長名</t>
    <rPh sb="0" eb="2">
      <t>ガッコウ</t>
    </rPh>
    <rPh sb="2" eb="3">
      <t>チョウ</t>
    </rPh>
    <rPh sb="3" eb="4">
      <t>メイ</t>
    </rPh>
    <phoneticPr fontId="4"/>
  </si>
  <si>
    <t>一人目</t>
    <rPh sb="0" eb="3">
      <t>ヒトリメ</t>
    </rPh>
    <phoneticPr fontId="4"/>
  </si>
  <si>
    <t>二人目</t>
    <rPh sb="0" eb="3">
      <t>フタリメ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</si>
  <si>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</si>
  <si>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</si>
  <si>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</si>
  <si>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距離</t>
    <rPh sb="0" eb="2">
      <t>キョリ</t>
    </rPh>
    <phoneticPr fontId="4"/>
  </si>
  <si>
    <t>性別</t>
    <rPh sb="0" eb="2">
      <t>セイベツ</t>
    </rPh>
    <phoneticPr fontId="4"/>
  </si>
  <si>
    <t>学校名</t>
    <rPh sb="0" eb="3">
      <t>ガッコウメイ</t>
    </rPh>
    <phoneticPr fontId="4"/>
  </si>
  <si>
    <t>学校長名</t>
    <rPh sb="0" eb="3">
      <t>ガッコウチョウ</t>
    </rPh>
    <rPh sb="3" eb="4">
      <t>メイ</t>
    </rPh>
    <phoneticPr fontId="4"/>
  </si>
  <si>
    <t>女子</t>
  </si>
  <si>
    <t>大会開催年度</t>
    <rPh sb="0" eb="2">
      <t>タイカイ</t>
    </rPh>
    <rPh sb="2" eb="4">
      <t>カイサイ</t>
    </rPh>
    <rPh sb="4" eb="6">
      <t>ネンド</t>
    </rPh>
    <phoneticPr fontId="4"/>
  </si>
  <si>
    <t>大会種別</t>
    <rPh sb="0" eb="2">
      <t>タイカイ</t>
    </rPh>
    <rPh sb="2" eb="4">
      <t>シュベツ</t>
    </rPh>
    <phoneticPr fontId="4"/>
  </si>
  <si>
    <t>性別</t>
    <phoneticPr fontId="5"/>
  </si>
  <si>
    <t>02</t>
    <phoneticPr fontId="4"/>
  </si>
  <si>
    <t>01</t>
    <phoneticPr fontId="4"/>
  </si>
  <si>
    <t>リレーエントリー入力画面</t>
    <rPh sb="8" eb="10">
      <t>ニュウリョク</t>
    </rPh>
    <rPh sb="10" eb="12">
      <t>ガメン</t>
    </rPh>
    <phoneticPr fontId="4"/>
  </si>
  <si>
    <t>所属名</t>
    <phoneticPr fontId="5"/>
  </si>
  <si>
    <t>個人種目エントリー入力画面</t>
    <rPh sb="0" eb="2">
      <t>コジン</t>
    </rPh>
    <rPh sb="2" eb="4">
      <t>シュモク</t>
    </rPh>
    <rPh sb="9" eb="11">
      <t>ニュウリョク</t>
    </rPh>
    <rPh sb="11" eb="13">
      <t>ガメン</t>
    </rPh>
    <phoneticPr fontId="4"/>
  </si>
  <si>
    <t>基本データ入力画面</t>
    <rPh sb="0" eb="2">
      <t>キホン</t>
    </rPh>
    <rPh sb="5" eb="7">
      <t>ニュウリョク</t>
    </rPh>
    <rPh sb="7" eb="9">
      <t>ガメン</t>
    </rPh>
    <phoneticPr fontId="4"/>
  </si>
  <si>
    <t>平成</t>
    <rPh sb="0" eb="2">
      <t>ヘイセイ</t>
    </rPh>
    <phoneticPr fontId="4"/>
  </si>
  <si>
    <t>年度</t>
    <rPh sb="0" eb="1">
      <t>ネン</t>
    </rPh>
    <rPh sb="1" eb="2">
      <t>ド</t>
    </rPh>
    <phoneticPr fontId="4"/>
  </si>
  <si>
    <t>中学校</t>
    <rPh sb="0" eb="3">
      <t>チュウガッコウ</t>
    </rPh>
    <phoneticPr fontId="4"/>
  </si>
  <si>
    <t>年齢</t>
    <rPh sb="0" eb="2">
      <t>ネンレイ</t>
    </rPh>
    <phoneticPr fontId="4"/>
  </si>
  <si>
    <t>申込み年月日</t>
    <rPh sb="0" eb="2">
      <t>モウシコ</t>
    </rPh>
    <rPh sb="3" eb="6">
      <t>ネンガッピ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</si>
  <si>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</si>
  <si>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</si>
  <si>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</si>
  <si>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住　　　所</t>
    <rPh sb="0" eb="1">
      <t>ジュウ</t>
    </rPh>
    <rPh sb="4" eb="5">
      <t>トコロ</t>
    </rPh>
    <phoneticPr fontId="4"/>
  </si>
  <si>
    <t>電　　　話</t>
    <rPh sb="0" eb="1">
      <t>デン</t>
    </rPh>
    <rPh sb="4" eb="5">
      <t>ハナシ</t>
    </rPh>
    <phoneticPr fontId="4"/>
  </si>
  <si>
    <t>氏　　名</t>
    <rPh sb="0" eb="1">
      <t>シ</t>
    </rPh>
    <rPh sb="3" eb="4">
      <t>メイ</t>
    </rPh>
    <phoneticPr fontId="4"/>
  </si>
  <si>
    <t>性　　別</t>
    <rPh sb="0" eb="1">
      <t>セイ</t>
    </rPh>
    <rPh sb="3" eb="4">
      <t>ベツ</t>
    </rPh>
    <phoneticPr fontId="4"/>
  </si>
  <si>
    <t>年　　齢</t>
    <rPh sb="0" eb="1">
      <t>トシ</t>
    </rPh>
    <rPh sb="3" eb="4">
      <t>ヨワイ</t>
    </rPh>
    <phoneticPr fontId="4"/>
  </si>
  <si>
    <t>外部指導者確認書（校長承認書）</t>
    <rPh sb="0" eb="2">
      <t>ガイブ</t>
    </rPh>
    <rPh sb="2" eb="4">
      <t>シドウ</t>
    </rPh>
    <rPh sb="4" eb="5">
      <t>シャ</t>
    </rPh>
    <rPh sb="5" eb="8">
      <t>カクニンショ</t>
    </rPh>
    <rPh sb="9" eb="11">
      <t>コウチョウ</t>
    </rPh>
    <rPh sb="11" eb="14">
      <t>ショウニンショ</t>
    </rPh>
    <phoneticPr fontId="4"/>
  </si>
  <si>
    <t>記</t>
    <rPh sb="0" eb="1">
      <t>キ</t>
    </rPh>
    <phoneticPr fontId="4"/>
  </si>
  <si>
    <t>（　　　                    コ　　　ー　　　チ 　 　　　　　　　　　）として承認いたしました。</t>
    <rPh sb="49" eb="51">
      <t>ショウニン</t>
    </rPh>
    <phoneticPr fontId="4"/>
  </si>
  <si>
    <t>水 泳 専 門 部 部 長　 　　　　様</t>
    <rPh sb="0" eb="1">
      <t>ミズ</t>
    </rPh>
    <rPh sb="2" eb="3">
      <t>オヨ</t>
    </rPh>
    <rPh sb="4" eb="5">
      <t>セン</t>
    </rPh>
    <rPh sb="6" eb="7">
      <t>モン</t>
    </rPh>
    <rPh sb="8" eb="9">
      <t>ブ</t>
    </rPh>
    <rPh sb="10" eb="11">
      <t>ブ</t>
    </rPh>
    <rPh sb="12" eb="13">
      <t>チョウ</t>
    </rPh>
    <rPh sb="19" eb="20">
      <t>サマ</t>
    </rPh>
    <phoneticPr fontId="4"/>
  </si>
  <si>
    <t>学校長</t>
    <rPh sb="0" eb="3">
      <t>ガッコウチョウ</t>
    </rPh>
    <phoneticPr fontId="4"/>
  </si>
  <si>
    <t>（公印）</t>
    <rPh sb="1" eb="3">
      <t>コウイン</t>
    </rPh>
    <phoneticPr fontId="4"/>
  </si>
  <si>
    <t xml:space="preserve"> Ｆ　Ａ　Ｘ</t>
    <phoneticPr fontId="4"/>
  </si>
  <si>
    <t>ふりがな</t>
    <phoneticPr fontId="4"/>
  </si>
  <si>
    <t>住　　所</t>
    <rPh sb="0" eb="1">
      <t>ジュウ</t>
    </rPh>
    <rPh sb="3" eb="4">
      <t>トコロ</t>
    </rPh>
    <phoneticPr fontId="4"/>
  </si>
  <si>
    <t>電　　話</t>
    <rPh sb="0" eb="1">
      <t>デン</t>
    </rPh>
    <rPh sb="3" eb="4">
      <t>ハナシ</t>
    </rPh>
    <phoneticPr fontId="4"/>
  </si>
  <si>
    <t>女子</t>
    <rPh sb="0" eb="2">
      <t>ジョシ</t>
    </rPh>
    <phoneticPr fontId="4"/>
  </si>
  <si>
    <t>生年月日</t>
    <rPh sb="0" eb="2">
      <t>セイネン</t>
    </rPh>
    <rPh sb="2" eb="4">
      <t>ガッピ</t>
    </rPh>
    <phoneticPr fontId="4"/>
  </si>
  <si>
    <t>性別</t>
    <phoneticPr fontId="5"/>
  </si>
  <si>
    <t>氏名</t>
    <phoneticPr fontId="5"/>
  </si>
  <si>
    <t>ｶﾅ</t>
    <phoneticPr fontId="5"/>
  </si>
  <si>
    <t>生年</t>
    <phoneticPr fontId="5"/>
  </si>
  <si>
    <t>所属名</t>
    <phoneticPr fontId="5"/>
  </si>
  <si>
    <t>フリガナ</t>
    <phoneticPr fontId="4"/>
  </si>
  <si>
    <t>エントリータイム</t>
    <phoneticPr fontId="4"/>
  </si>
  <si>
    <t>選手番号(5)</t>
  </si>
  <si>
    <t>旧日水連ｺｰﾄﾞ(12)</t>
  </si>
  <si>
    <t>性別(1)</t>
  </si>
  <si>
    <t>漢字氏名（30）</t>
  </si>
  <si>
    <t>ｶﾅ氏名(30)</t>
  </si>
  <si>
    <t>生年月日(8)</t>
  </si>
  <si>
    <t>学校(1)</t>
  </si>
  <si>
    <t>学年(1)</t>
  </si>
  <si>
    <t>ｸﾗｽ(2)</t>
  </si>
  <si>
    <t>新日水連ｺｰﾄﾞ(7)</t>
  </si>
  <si>
    <t>所属名1(16)</t>
  </si>
  <si>
    <t>ｶﾅ所属名1(16)</t>
  </si>
  <si>
    <t>所属名2(16)</t>
  </si>
  <si>
    <t>ｶﾅ所属名2(16)</t>
  </si>
  <si>
    <t>所属名3(16)</t>
  </si>
  <si>
    <t>ｶﾅ所属名3(16)</t>
  </si>
  <si>
    <t>使用所属(1)</t>
  </si>
  <si>
    <t>ｴﾝﾄﾘｰ1(5)</t>
  </si>
  <si>
    <t>ｴﾝﾄﾘｰﾀｲﾑ1(7)</t>
  </si>
  <si>
    <t>ｴﾝﾄﾘｰ2(5)</t>
  </si>
  <si>
    <t>ｴﾝﾄﾘｰﾀｲﾑ2(7)</t>
  </si>
  <si>
    <t>ﾌﾘｶﾞﾅ</t>
    <phoneticPr fontId="4"/>
  </si>
  <si>
    <t>チーム番号(4)</t>
  </si>
  <si>
    <t>チーム名(20)</t>
  </si>
  <si>
    <t>ﾖﾐｶﾞﾅ(15)</t>
  </si>
  <si>
    <t>所属番号(4)</t>
  </si>
  <si>
    <t>加盟番号(2)</t>
  </si>
  <si>
    <t>ｴﾝﾄﾘｰ(5)</t>
  </si>
  <si>
    <t>ｴﾝﾄﾘｰﾀｲﾑ(7)</t>
  </si>
  <si>
    <t>13</t>
  </si>
  <si>
    <t>０</t>
    <phoneticPr fontId="4"/>
  </si>
  <si>
    <t>１</t>
    <phoneticPr fontId="4"/>
  </si>
  <si>
    <t>4</t>
    <phoneticPr fontId="4"/>
  </si>
  <si>
    <t>メドレーリレーエントリータイム</t>
    <phoneticPr fontId="4"/>
  </si>
  <si>
    <t>引 率 者</t>
    <rPh sb="0" eb="1">
      <t>イン</t>
    </rPh>
    <rPh sb="2" eb="3">
      <t>リツ</t>
    </rPh>
    <rPh sb="4" eb="5">
      <t>シャ</t>
    </rPh>
    <phoneticPr fontId="4"/>
  </si>
  <si>
    <t>〒番号</t>
    <rPh sb="1" eb="3">
      <t>バンゴウ</t>
    </rPh>
    <phoneticPr fontId="4"/>
  </si>
  <si>
    <t>水泳大会で経験したことのある役員</t>
    <rPh sb="0" eb="2">
      <t>スイエイ</t>
    </rPh>
    <rPh sb="2" eb="4">
      <t>タイカイ</t>
    </rPh>
    <rPh sb="5" eb="7">
      <t>ケイケン</t>
    </rPh>
    <rPh sb="14" eb="16">
      <t>ヤクイン</t>
    </rPh>
    <phoneticPr fontId="4"/>
  </si>
  <si>
    <t>何か要望があれば</t>
    <rPh sb="0" eb="1">
      <t>ナニ</t>
    </rPh>
    <rPh sb="2" eb="4">
      <t>ヨウボウ</t>
    </rPh>
    <phoneticPr fontId="4"/>
  </si>
  <si>
    <t>05</t>
  </si>
  <si>
    <t>05</t>
    <phoneticPr fontId="4"/>
  </si>
  <si>
    <t>自由形</t>
  </si>
  <si>
    <t>100</t>
    <phoneticPr fontId="4"/>
  </si>
  <si>
    <t>20</t>
  </si>
  <si>
    <t>男子</t>
    <rPh sb="0" eb="2">
      <t>ダンシ</t>
    </rPh>
    <phoneticPr fontId="4"/>
  </si>
  <si>
    <t>理事確認用</t>
    <rPh sb="0" eb="2">
      <t>リジ</t>
    </rPh>
    <rPh sb="2" eb="4">
      <t>カクニン</t>
    </rPh>
    <rPh sb="4" eb="5">
      <t>ヨウ</t>
    </rPh>
    <phoneticPr fontId="4"/>
  </si>
  <si>
    <t>登録団体番号　33＋地区アルファベット＋学校番号  合併の都合上ｂとｅが保留になりました。</t>
    <rPh sb="0" eb="2">
      <t>トウロク</t>
    </rPh>
    <rPh sb="2" eb="4">
      <t>ダンタイ</t>
    </rPh>
    <rPh sb="4" eb="6">
      <t>バンゴウ</t>
    </rPh>
    <rPh sb="10" eb="12">
      <t>チク</t>
    </rPh>
    <rPh sb="20" eb="22">
      <t>ガッコウ</t>
    </rPh>
    <rPh sb="22" eb="24">
      <t>バンゴウ</t>
    </rPh>
    <rPh sb="26" eb="28">
      <t>ガッペイ</t>
    </rPh>
    <rPh sb="29" eb="32">
      <t>ツゴウジョウ</t>
    </rPh>
    <rPh sb="36" eb="38">
      <t>ホリュウ</t>
    </rPh>
    <phoneticPr fontId="4"/>
  </si>
  <si>
    <t>01</t>
    <phoneticPr fontId="4"/>
  </si>
  <si>
    <t>03</t>
  </si>
  <si>
    <t>04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</si>
  <si>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</si>
  <si>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</si>
  <si>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</si>
  <si>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</si>
  <si>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</si>
  <si>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</si>
  <si>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</si>
  <si>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</si>
  <si>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</si>
  <si>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</si>
  <si>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</si>
  <si>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</si>
  <si>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</si>
  <si>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</si>
  <si>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</si>
  <si>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01</t>
    <phoneticPr fontId="4"/>
  </si>
  <si>
    <t>07</t>
  </si>
  <si>
    <t>都窪郡</t>
    <rPh sb="0" eb="1">
      <t>ト</t>
    </rPh>
    <rPh sb="1" eb="2">
      <t>クボ</t>
    </rPh>
    <rPh sb="2" eb="3">
      <t>グン</t>
    </rPh>
    <phoneticPr fontId="4"/>
  </si>
  <si>
    <t>早島</t>
    <rPh sb="0" eb="2">
      <t>ハヤシマ</t>
    </rPh>
    <phoneticPr fontId="4"/>
  </si>
  <si>
    <t>早島町立　早島中学校</t>
  </si>
  <si>
    <t>701-0304</t>
  </si>
  <si>
    <t>都窪郡早島町早島２１８０</t>
  </si>
  <si>
    <t>086-482-0109</t>
  </si>
  <si>
    <t>倉敷市</t>
    <rPh sb="0" eb="3">
      <t>クラシキシ</t>
    </rPh>
    <phoneticPr fontId="4"/>
  </si>
  <si>
    <t>倉敷市立　東中学校</t>
  </si>
  <si>
    <t>710-0003</t>
  </si>
  <si>
    <t>倉敷市平田１５５－１００</t>
  </si>
  <si>
    <t>086-422-6050</t>
  </si>
  <si>
    <t>倉敷市立　西中学校</t>
  </si>
  <si>
    <t>710-0815</t>
  </si>
  <si>
    <t>倉敷市日吉町２０５</t>
  </si>
  <si>
    <t>086-422-6030</t>
  </si>
  <si>
    <t>倉敷市立　南中学校</t>
  </si>
  <si>
    <t>710-0845</t>
  </si>
  <si>
    <t>倉敷市西富井１３８７</t>
  </si>
  <si>
    <t>086-422-4670</t>
  </si>
  <si>
    <t>倉敷市立　北中学校</t>
  </si>
  <si>
    <t>710-0016</t>
  </si>
  <si>
    <t>倉敷市中庄５０５</t>
  </si>
  <si>
    <t>086-462-6341</t>
  </si>
  <si>
    <t>多津美</t>
    <rPh sb="0" eb="1">
      <t>タ</t>
    </rPh>
    <rPh sb="1" eb="2">
      <t>ツ</t>
    </rPh>
    <rPh sb="2" eb="3">
      <t>ミ</t>
    </rPh>
    <phoneticPr fontId="4"/>
  </si>
  <si>
    <t>倉敷市立　多津美中学校</t>
  </si>
  <si>
    <t>710-0031</t>
  </si>
  <si>
    <t>倉敷市有城９８６</t>
  </si>
  <si>
    <t>086-429-1222</t>
  </si>
  <si>
    <t>新田</t>
    <rPh sb="0" eb="2">
      <t>シンデン</t>
    </rPh>
    <phoneticPr fontId="4"/>
  </si>
  <si>
    <t>倉敷市立　新田中学校</t>
  </si>
  <si>
    <t>710-0038</t>
  </si>
  <si>
    <t>倉敷市新田２６７４－３</t>
  </si>
  <si>
    <t>086-422-4674</t>
  </si>
  <si>
    <t>東陽</t>
    <rPh sb="0" eb="2">
      <t>トウヨウ</t>
    </rPh>
    <phoneticPr fontId="4"/>
  </si>
  <si>
    <t>倉敷市立　東陽中学校</t>
  </si>
  <si>
    <t>710-0021</t>
  </si>
  <si>
    <t>倉敷市高須賀３１５</t>
  </si>
  <si>
    <t>086-428-0013</t>
  </si>
  <si>
    <t>庄</t>
    <rPh sb="0" eb="1">
      <t>ショウ</t>
    </rPh>
    <phoneticPr fontId="4"/>
  </si>
  <si>
    <t>倉敷市立　庄中学校</t>
  </si>
  <si>
    <t>701-0111</t>
  </si>
  <si>
    <t>倉敷市上東８１２</t>
  </si>
  <si>
    <t>086-462-0334</t>
  </si>
  <si>
    <t>倉敷第一</t>
    <rPh sb="0" eb="2">
      <t>クラシキ</t>
    </rPh>
    <rPh sb="2" eb="4">
      <t>ダイイチ</t>
    </rPh>
    <phoneticPr fontId="4"/>
  </si>
  <si>
    <t>倉敷市立　倉敷第一中学校</t>
  </si>
  <si>
    <t>710-0807</t>
  </si>
  <si>
    <t>倉敷市西阿知町１０７０</t>
  </si>
  <si>
    <t>086-465-2178</t>
  </si>
  <si>
    <t>倉敷市立　福田中学校</t>
  </si>
  <si>
    <t>712-8046</t>
  </si>
  <si>
    <t>倉敷市福田町古新田５３３－１</t>
  </si>
  <si>
    <t>086-455-4373</t>
  </si>
  <si>
    <t>福田南</t>
    <rPh sb="0" eb="2">
      <t>フクダ</t>
    </rPh>
    <rPh sb="2" eb="3">
      <t>ミナミ</t>
    </rPh>
    <phoneticPr fontId="4"/>
  </si>
  <si>
    <t>倉敷市立　福田南中学校</t>
  </si>
  <si>
    <t>倉敷市福田町古新田７１１－４</t>
  </si>
  <si>
    <t>086-455-5671</t>
  </si>
  <si>
    <t>水島</t>
    <rPh sb="0" eb="2">
      <t>ミズシマ</t>
    </rPh>
    <phoneticPr fontId="4"/>
  </si>
  <si>
    <t>倉敷市立　水島中学校</t>
  </si>
  <si>
    <t>712-8062</t>
  </si>
  <si>
    <t>倉敷市水島北幸町３－１</t>
  </si>
  <si>
    <t>086-444-5238</t>
  </si>
  <si>
    <t>連島</t>
    <rPh sb="0" eb="2">
      <t>ツラジマ</t>
    </rPh>
    <phoneticPr fontId="4"/>
  </si>
  <si>
    <t>倉敷市立　連島中学校</t>
  </si>
  <si>
    <t>712-8014</t>
  </si>
  <si>
    <t>倉敷市連島中央５丁目６－１</t>
  </si>
  <si>
    <t>086-444-5268</t>
  </si>
  <si>
    <t>連島南</t>
    <rPh sb="0" eb="2">
      <t>ツラジマ</t>
    </rPh>
    <rPh sb="2" eb="3">
      <t>ミナミ</t>
    </rPh>
    <phoneticPr fontId="4"/>
  </si>
  <si>
    <t>倉敷市立　連島南中学校</t>
  </si>
  <si>
    <t>712-8006</t>
  </si>
  <si>
    <t>倉敷市連島町鶴新田１３１０</t>
  </si>
  <si>
    <t>086-448-4552</t>
  </si>
  <si>
    <t>味野</t>
    <rPh sb="0" eb="2">
      <t>アジノ</t>
    </rPh>
    <phoneticPr fontId="4"/>
  </si>
  <si>
    <t>倉敷市立　味野中学校</t>
  </si>
  <si>
    <t>711-0913</t>
  </si>
  <si>
    <t>倉敷市児島味野４丁目２－５６</t>
  </si>
  <si>
    <t>086-472-2266</t>
  </si>
  <si>
    <t>下津井</t>
    <rPh sb="0" eb="3">
      <t>シモツイ</t>
    </rPh>
    <phoneticPr fontId="4"/>
  </si>
  <si>
    <t>倉敷市立　下津井中学校</t>
  </si>
  <si>
    <t>711-0926</t>
  </si>
  <si>
    <t>倉敷市下津井吹上１４０</t>
  </si>
  <si>
    <t>086-479-9049</t>
  </si>
  <si>
    <t>児島</t>
    <rPh sb="0" eb="2">
      <t>コジマ</t>
    </rPh>
    <phoneticPr fontId="4"/>
  </si>
  <si>
    <t>倉敷市立　児島中学校</t>
  </si>
  <si>
    <t>711-0911</t>
  </si>
  <si>
    <t>倉敷市児島小川４丁目７－３４</t>
  </si>
  <si>
    <t>086-473-2721</t>
  </si>
  <si>
    <t>琴浦</t>
    <rPh sb="0" eb="2">
      <t>コトウラ</t>
    </rPh>
    <phoneticPr fontId="4"/>
  </si>
  <si>
    <t>倉敷市立　琴浦中学校</t>
  </si>
  <si>
    <t>711-0906</t>
  </si>
  <si>
    <t>倉敷市児島下の町８丁目６－６</t>
  </si>
  <si>
    <t>086-472-4459</t>
  </si>
  <si>
    <t>郷内</t>
    <rPh sb="0" eb="1">
      <t>ゴウ</t>
    </rPh>
    <rPh sb="1" eb="2">
      <t>ナイ</t>
    </rPh>
    <phoneticPr fontId="4"/>
  </si>
  <si>
    <t>倉敷市立　郷内中学校</t>
  </si>
  <si>
    <t>711-0142</t>
  </si>
  <si>
    <t>倉敷市林６２０</t>
  </si>
  <si>
    <t>086-485-0055</t>
  </si>
  <si>
    <t>玉島東</t>
    <rPh sb="0" eb="2">
      <t>タマシマ</t>
    </rPh>
    <rPh sb="2" eb="3">
      <t>ヒガシ</t>
    </rPh>
    <phoneticPr fontId="4"/>
  </si>
  <si>
    <t>倉敷市立　玉島東中学校</t>
  </si>
  <si>
    <t>713-8102</t>
  </si>
  <si>
    <t>倉敷市玉島２丁目２１－１</t>
  </si>
  <si>
    <t>086-522-5157</t>
  </si>
  <si>
    <t>玉島西</t>
    <rPh sb="0" eb="2">
      <t>タマシマ</t>
    </rPh>
    <rPh sb="2" eb="3">
      <t>ニシ</t>
    </rPh>
    <phoneticPr fontId="4"/>
  </si>
  <si>
    <t>倉敷市立　玉島西中学校</t>
  </si>
  <si>
    <t>713-8123</t>
  </si>
  <si>
    <t>倉敷市玉島柏島１５４８</t>
  </si>
  <si>
    <t>086-526-3456</t>
  </si>
  <si>
    <t>玉島北</t>
    <rPh sb="0" eb="2">
      <t>タマシマ</t>
    </rPh>
    <rPh sb="2" eb="3">
      <t>キタ</t>
    </rPh>
    <phoneticPr fontId="4"/>
  </si>
  <si>
    <t>倉敷市立　玉島北中学校</t>
  </si>
  <si>
    <t>710-0213</t>
  </si>
  <si>
    <t>086-526-3000</t>
  </si>
  <si>
    <t>黒崎</t>
    <rPh sb="0" eb="2">
      <t>クロサキ</t>
    </rPh>
    <phoneticPr fontId="4"/>
  </si>
  <si>
    <t>倉敷市立　黒崎中学校</t>
  </si>
  <si>
    <t>713-8126</t>
  </si>
  <si>
    <t>倉敷市玉島黒崎６０５７</t>
  </si>
  <si>
    <t>086-528-0302</t>
  </si>
  <si>
    <t>船穂</t>
    <rPh sb="0" eb="2">
      <t>フナホ</t>
    </rPh>
    <phoneticPr fontId="4"/>
  </si>
  <si>
    <t>浅口市立　船穂中学校</t>
    <rPh sb="0" eb="2">
      <t>アサクチ</t>
    </rPh>
    <rPh sb="2" eb="3">
      <t>シ</t>
    </rPh>
    <phoneticPr fontId="4"/>
  </si>
  <si>
    <t>710-0261</t>
  </si>
  <si>
    <t>浅口市船穂町船穂２８１７－１</t>
    <rPh sb="2" eb="3">
      <t>シ</t>
    </rPh>
    <phoneticPr fontId="4"/>
  </si>
  <si>
    <t>真備東</t>
    <rPh sb="0" eb="2">
      <t>マビ</t>
    </rPh>
    <rPh sb="2" eb="3">
      <t>ヒガシ</t>
    </rPh>
    <phoneticPr fontId="4"/>
  </si>
  <si>
    <t>倉敷市立　真備東中学校</t>
    <rPh sb="0" eb="3">
      <t>クラシキシ</t>
    </rPh>
    <phoneticPr fontId="4"/>
  </si>
  <si>
    <t>710-1301</t>
  </si>
  <si>
    <t>倉敷市真備町箭田１０５８</t>
    <rPh sb="0" eb="3">
      <t>クラシキシ</t>
    </rPh>
    <phoneticPr fontId="4"/>
  </si>
  <si>
    <t>真備</t>
    <rPh sb="0" eb="2">
      <t>マビ</t>
    </rPh>
    <phoneticPr fontId="4"/>
  </si>
  <si>
    <t>倉敷市立　真備中学校</t>
    <rPh sb="0" eb="3">
      <t>クラシキシ</t>
    </rPh>
    <phoneticPr fontId="4"/>
  </si>
  <si>
    <t>710-1312</t>
  </si>
  <si>
    <t>倉敷市真備町辻田６０－１</t>
    <rPh sb="0" eb="3">
      <t>クラシキシ</t>
    </rPh>
    <phoneticPr fontId="4"/>
  </si>
  <si>
    <t>2７</t>
    <phoneticPr fontId="4"/>
  </si>
  <si>
    <t>倉敷天城</t>
    <rPh sb="0" eb="2">
      <t>クラシキ</t>
    </rPh>
    <rPh sb="2" eb="4">
      <t>アマギ</t>
    </rPh>
    <phoneticPr fontId="4"/>
  </si>
  <si>
    <t>以下の基本データを入力し個人種目エントリー，リレーエントリーを行ってください。</t>
    <rPh sb="0" eb="2">
      <t>イカ</t>
    </rPh>
    <rPh sb="3" eb="5">
      <t>キホン</t>
    </rPh>
    <rPh sb="9" eb="11">
      <t>ニュウリョク</t>
    </rPh>
    <rPh sb="12" eb="14">
      <t>コジン</t>
    </rPh>
    <rPh sb="14" eb="16">
      <t>シュモク</t>
    </rPh>
    <rPh sb="31" eb="32">
      <t>オコナ</t>
    </rPh>
    <phoneticPr fontId="4"/>
  </si>
  <si>
    <t>左で学校を選択すると上記に郵便番号，住所，電話番号
が表示されます。異なっている場合や表示されない場合
は直接入力してください。　　　　</t>
    <rPh sb="0" eb="1">
      <t>ヒダリ</t>
    </rPh>
    <rPh sb="2" eb="4">
      <t>ガッコウ</t>
    </rPh>
    <rPh sb="5" eb="7">
      <t>センタク</t>
    </rPh>
    <rPh sb="10" eb="12">
      <t>ジョウキ</t>
    </rPh>
    <rPh sb="27" eb="29">
      <t>ヒョウジ</t>
    </rPh>
    <phoneticPr fontId="4"/>
  </si>
  <si>
    <t>上記の生徒は，本大会参加について保護者の同意を得ているので参加を
申し込みます。また，本大会プログラム作成および成績上位者の報道発
表における氏名，学校名，学年等の個人情報の記載について本人および
保護者の同意を得ています。</t>
    <rPh sb="0" eb="2">
      <t>ジョウキ</t>
    </rPh>
    <rPh sb="3" eb="5">
      <t>セイト</t>
    </rPh>
    <rPh sb="7" eb="10">
      <t>ホンタイカイ</t>
    </rPh>
    <rPh sb="10" eb="12">
      <t>サンカ</t>
    </rPh>
    <rPh sb="16" eb="19">
      <t>ホゴシャ</t>
    </rPh>
    <rPh sb="20" eb="22">
      <t>ドウイ</t>
    </rPh>
    <rPh sb="23" eb="24">
      <t>エ</t>
    </rPh>
    <rPh sb="29" eb="31">
      <t>サンカ</t>
    </rPh>
    <rPh sb="33" eb="34">
      <t>モウ</t>
    </rPh>
    <rPh sb="35" eb="36">
      <t>コ</t>
    </rPh>
    <rPh sb="43" eb="46">
      <t>ホンタイカイ</t>
    </rPh>
    <rPh sb="51" eb="53">
      <t>サクセイ</t>
    </rPh>
    <rPh sb="56" eb="58">
      <t>セイセキ</t>
    </rPh>
    <rPh sb="58" eb="61">
      <t>ジョウイシャ</t>
    </rPh>
    <rPh sb="62" eb="64">
      <t>ホウドウ</t>
    </rPh>
    <rPh sb="71" eb="73">
      <t>シメイ</t>
    </rPh>
    <rPh sb="74" eb="76">
      <t>ガッコウ</t>
    </rPh>
    <rPh sb="76" eb="77">
      <t>メイ</t>
    </rPh>
    <rPh sb="78" eb="80">
      <t>ガクネン</t>
    </rPh>
    <rPh sb="80" eb="81">
      <t>トウ</t>
    </rPh>
    <rPh sb="82" eb="84">
      <t>コジン</t>
    </rPh>
    <rPh sb="84" eb="86">
      <t>ジョウホウ</t>
    </rPh>
    <rPh sb="87" eb="89">
      <t>キサイ</t>
    </rPh>
    <rPh sb="93" eb="95">
      <t>ホンニン</t>
    </rPh>
    <phoneticPr fontId="4"/>
  </si>
  <si>
    <t>競技にない種目を入力しないでください。リレーのみの出場者は種目欄を空欄にしてください。</t>
    <rPh sb="0" eb="2">
      <t>キョウギ</t>
    </rPh>
    <rPh sb="5" eb="7">
      <t>シュモク</t>
    </rPh>
    <rPh sb="8" eb="10">
      <t>ニュウリョク</t>
    </rPh>
    <rPh sb="31" eb="32">
      <t>ラン</t>
    </rPh>
    <phoneticPr fontId="4"/>
  </si>
  <si>
    <t>岡山市中学校体育連盟会長  様</t>
    <rPh sb="0" eb="2">
      <t>オカヤマ</t>
    </rPh>
    <rPh sb="2" eb="3">
      <t>シ</t>
    </rPh>
    <rPh sb="3" eb="6">
      <t>チュウガッコウ</t>
    </rPh>
    <rPh sb="6" eb="8">
      <t>タイイク</t>
    </rPh>
    <rPh sb="8" eb="10">
      <t>レンメイ</t>
    </rPh>
    <rPh sb="10" eb="12">
      <t>カイチョウ</t>
    </rPh>
    <rPh sb="14" eb="15">
      <t>サマ</t>
    </rPh>
    <phoneticPr fontId="4"/>
  </si>
  <si>
    <t>岡山　太郎</t>
    <rPh sb="0" eb="2">
      <t>オカヤマ</t>
    </rPh>
    <rPh sb="3" eb="5">
      <t>タロウ</t>
    </rPh>
    <phoneticPr fontId="5"/>
  </si>
  <si>
    <t>ｵｶﾔﾏ　ﾀﾛｳ</t>
    <phoneticPr fontId="5"/>
  </si>
  <si>
    <t>（</t>
    <phoneticPr fontId="4"/>
  </si>
  <si>
    <t>）</t>
    <phoneticPr fontId="4"/>
  </si>
  <si>
    <t>ｾｲｼﾝ</t>
    <phoneticPr fontId="4"/>
  </si>
  <si>
    <t>※　提出用ではありません</t>
    <rPh sb="2" eb="5">
      <t>テイシュツヨウ</t>
    </rPh>
    <phoneticPr fontId="4"/>
  </si>
  <si>
    <t>ﾊﾔｼﾏ</t>
    <phoneticPr fontId="4"/>
  </si>
  <si>
    <t>画面下にある個人種目申込・リレー申込などをクリックして入力し，最後に学校参加申込書（提出用）を印刷してください。</t>
    <rPh sb="0" eb="2">
      <t>ガメン</t>
    </rPh>
    <rPh sb="2" eb="3">
      <t>シタ</t>
    </rPh>
    <rPh sb="6" eb="8">
      <t>コジン</t>
    </rPh>
    <rPh sb="8" eb="10">
      <t>シュモク</t>
    </rPh>
    <rPh sb="10" eb="12">
      <t>モウシコ</t>
    </rPh>
    <rPh sb="16" eb="18">
      <t>モウシコ</t>
    </rPh>
    <rPh sb="27" eb="29">
      <t>ニュウリョク</t>
    </rPh>
    <rPh sb="31" eb="33">
      <t>サイゴ</t>
    </rPh>
    <rPh sb="34" eb="36">
      <t>ガッコウ</t>
    </rPh>
    <rPh sb="36" eb="38">
      <t>サンカ</t>
    </rPh>
    <rPh sb="38" eb="40">
      <t>モウシコ</t>
    </rPh>
    <rPh sb="40" eb="41">
      <t>ショ</t>
    </rPh>
    <rPh sb="42" eb="45">
      <t>テイシュツヨウ</t>
    </rPh>
    <rPh sb="47" eb="49">
      <t>インサツ</t>
    </rPh>
    <phoneticPr fontId="4"/>
  </si>
  <si>
    <t>ﾋｶﾞｼ</t>
    <phoneticPr fontId="4"/>
  </si>
  <si>
    <t>ﾆｼ</t>
    <phoneticPr fontId="4"/>
  </si>
  <si>
    <t>ﾐﾅﾐ</t>
    <phoneticPr fontId="4"/>
  </si>
  <si>
    <t>ｷﾀ</t>
    <phoneticPr fontId="4"/>
  </si>
  <si>
    <t>ﾀﾂﾐ</t>
    <phoneticPr fontId="4"/>
  </si>
  <si>
    <t>ｼﾝﾃﾞﾝ</t>
    <phoneticPr fontId="4"/>
  </si>
  <si>
    <t>ﾄｳﾖｳ</t>
    <phoneticPr fontId="4"/>
  </si>
  <si>
    <t>ｼｮｳ</t>
    <phoneticPr fontId="4"/>
  </si>
  <si>
    <t>ｸﾗｼｷﾀﾞｲｲﾁ</t>
    <phoneticPr fontId="4"/>
  </si>
  <si>
    <t>ﾌｸﾀﾞ</t>
    <phoneticPr fontId="4"/>
  </si>
  <si>
    <t>ﾌｸﾀﾞﾐﾅﾐ</t>
    <phoneticPr fontId="4"/>
  </si>
  <si>
    <t>ﾐｽﾞｼﾏ</t>
    <phoneticPr fontId="4"/>
  </si>
  <si>
    <t>ﾂﾗｼﾞﾏ</t>
    <phoneticPr fontId="4"/>
  </si>
  <si>
    <t>ﾂﾗｼﾞﾏﾐﾅﾐ</t>
    <phoneticPr fontId="4"/>
  </si>
  <si>
    <t>ｱｼﾞﾉ</t>
    <phoneticPr fontId="4"/>
  </si>
  <si>
    <t>ｼﾓﾂｲ</t>
    <phoneticPr fontId="4"/>
  </si>
  <si>
    <t>ｺｼﾞﾏ</t>
    <phoneticPr fontId="4"/>
  </si>
  <si>
    <t>ｺﾄｳﾗ</t>
    <phoneticPr fontId="4"/>
  </si>
  <si>
    <t>ｺﾞｳﾅｲ</t>
    <phoneticPr fontId="4"/>
  </si>
  <si>
    <t>ﾀﾏｼﾏﾋｶﾞｼ</t>
    <phoneticPr fontId="4"/>
  </si>
  <si>
    <t>ﾀﾏｼﾏﾆｼ</t>
    <phoneticPr fontId="4"/>
  </si>
  <si>
    <t>ﾀﾏｼﾏｷﾀ</t>
    <phoneticPr fontId="4"/>
  </si>
  <si>
    <t>ｸﾛｻｷ</t>
    <phoneticPr fontId="4"/>
  </si>
  <si>
    <t>ﾌﾅｵ</t>
    <phoneticPr fontId="4"/>
  </si>
  <si>
    <t>ﾏｷﾋﾞﾋｶﾞｼ</t>
    <phoneticPr fontId="4"/>
  </si>
  <si>
    <t>ｸﾗｼｷｱﾏｷ</t>
    <phoneticPr fontId="4"/>
  </si>
  <si>
    <t>710-0132</t>
    <phoneticPr fontId="4"/>
  </si>
  <si>
    <t>倉敷市藤戸町天城２６９</t>
    <rPh sb="0" eb="3">
      <t>クラシキシ</t>
    </rPh>
    <rPh sb="3" eb="5">
      <t>フジト</t>
    </rPh>
    <rPh sb="5" eb="6">
      <t>チョウ</t>
    </rPh>
    <rPh sb="6" eb="8">
      <t>アマキ</t>
    </rPh>
    <phoneticPr fontId="4"/>
  </si>
  <si>
    <t>086-429-3494</t>
    <phoneticPr fontId="4"/>
  </si>
  <si>
    <t>1</t>
    <phoneticPr fontId="4"/>
  </si>
  <si>
    <t>東</t>
    <phoneticPr fontId="4"/>
  </si>
  <si>
    <t>西</t>
    <rPh sb="0" eb="1">
      <t>ニシ</t>
    </rPh>
    <phoneticPr fontId="4"/>
  </si>
  <si>
    <t>南</t>
    <rPh sb="0" eb="1">
      <t>ミナミ</t>
    </rPh>
    <phoneticPr fontId="4"/>
  </si>
  <si>
    <t>北</t>
    <rPh sb="0" eb="1">
      <t>キタ</t>
    </rPh>
    <phoneticPr fontId="4"/>
  </si>
  <si>
    <t>福田</t>
    <rPh sb="0" eb="2">
      <t>フクダ</t>
    </rPh>
    <phoneticPr fontId="4"/>
  </si>
  <si>
    <t>総社市</t>
    <rPh sb="0" eb="2">
      <t>ソウジャ</t>
    </rPh>
    <rPh sb="2" eb="3">
      <t>シ</t>
    </rPh>
    <phoneticPr fontId="4"/>
  </si>
  <si>
    <t>総社東</t>
    <rPh sb="0" eb="2">
      <t>ソウジャ</t>
    </rPh>
    <rPh sb="2" eb="3">
      <t>ヒガシ</t>
    </rPh>
    <phoneticPr fontId="4"/>
  </si>
  <si>
    <t>総社市立　総社東中学校</t>
    <rPh sb="0" eb="2">
      <t>ソウジャ</t>
    </rPh>
    <rPh sb="2" eb="4">
      <t>シリツ</t>
    </rPh>
    <phoneticPr fontId="4"/>
  </si>
  <si>
    <t>719-1125</t>
  </si>
  <si>
    <t>総社市井手５６５</t>
  </si>
  <si>
    <t>0866-92-0073</t>
  </si>
  <si>
    <t>総社西</t>
    <rPh sb="0" eb="2">
      <t>ソウジャ</t>
    </rPh>
    <rPh sb="2" eb="3">
      <t>ニシ</t>
    </rPh>
    <phoneticPr fontId="4"/>
  </si>
  <si>
    <t>総社市立　総社西中学校</t>
    <rPh sb="0" eb="2">
      <t>ソウジャ</t>
    </rPh>
    <rPh sb="2" eb="4">
      <t>シリツ</t>
    </rPh>
    <phoneticPr fontId="4"/>
  </si>
  <si>
    <t>719-1136</t>
  </si>
  <si>
    <t>総社市駅前１丁目１０－１</t>
  </si>
  <si>
    <t>0866-92-0317</t>
  </si>
  <si>
    <t>総社</t>
    <rPh sb="0" eb="2">
      <t>ソウジャ</t>
    </rPh>
    <phoneticPr fontId="4"/>
  </si>
  <si>
    <t>総社市立　総社中学校</t>
  </si>
  <si>
    <t>719-1142</t>
  </si>
  <si>
    <t>総社市秦５４０</t>
  </si>
  <si>
    <t>0866-92-0936</t>
  </si>
  <si>
    <t>昭和</t>
    <rPh sb="0" eb="2">
      <t>ショウワ</t>
    </rPh>
    <phoneticPr fontId="4"/>
  </si>
  <si>
    <t>総社市立　昭和中学校</t>
  </si>
  <si>
    <t>719-1311</t>
  </si>
  <si>
    <t>総社市美袋１６３６</t>
  </si>
  <si>
    <t>0866-99-1020</t>
  </si>
  <si>
    <t>ｿｳｼﾞｬﾋｶﾞｼ</t>
    <phoneticPr fontId="4"/>
  </si>
  <si>
    <t>ｿｳｼﾞｬﾆｼ</t>
    <phoneticPr fontId="4"/>
  </si>
  <si>
    <t>ｿｳｼﾞｬ</t>
    <phoneticPr fontId="4"/>
  </si>
  <si>
    <t>ｼｮｳﾜ</t>
    <phoneticPr fontId="4"/>
  </si>
  <si>
    <t>申込責任者</t>
    <rPh sb="0" eb="2">
      <t>モウシコミ</t>
    </rPh>
    <rPh sb="2" eb="5">
      <t>セキニンシャ</t>
    </rPh>
    <phoneticPr fontId="4"/>
  </si>
  <si>
    <t>申込責任者</t>
    <phoneticPr fontId="4"/>
  </si>
  <si>
    <t>倉敷市玉島八島１５２９－１</t>
    <rPh sb="5" eb="6">
      <t>ハチ</t>
    </rPh>
    <rPh sb="6" eb="7">
      <t>シマ</t>
    </rPh>
    <phoneticPr fontId="4"/>
  </si>
  <si>
    <t>04</t>
    <phoneticPr fontId="4"/>
  </si>
  <si>
    <t>086-698-5522</t>
    <phoneticPr fontId="4"/>
  </si>
  <si>
    <t>086-698-1151</t>
    <phoneticPr fontId="4"/>
  </si>
  <si>
    <t>ﾌﾘｰﾘﾚｰ</t>
  </si>
  <si>
    <t>フリーリレーエントリータイム</t>
    <phoneticPr fontId="4"/>
  </si>
  <si>
    <t>J</t>
    <phoneticPr fontId="4"/>
  </si>
  <si>
    <t>K</t>
    <phoneticPr fontId="4"/>
  </si>
  <si>
    <t>Q</t>
    <phoneticPr fontId="4"/>
  </si>
  <si>
    <t>Z</t>
    <phoneticPr fontId="4"/>
  </si>
  <si>
    <t>総体</t>
    <rPh sb="0" eb="2">
      <t>ソウタイ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</si>
  <si>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</si>
  <si>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</si>
  <si>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新人</t>
    <rPh sb="0" eb="2">
      <t>シンジN</t>
    </rPh>
    <phoneticPr fontId="4"/>
  </si>
  <si>
    <t>自由形</t>
    <rPh sb="0" eb="3">
      <t>ジユウガタ</t>
    </rPh>
    <phoneticPr fontId="4"/>
  </si>
  <si>
    <t>平泳ぎ</t>
    <rPh sb="0" eb="2">
      <t>ヒラオヨ</t>
    </rPh>
    <phoneticPr fontId="4"/>
  </si>
  <si>
    <t>背泳ぎ</t>
    <rPh sb="0" eb="2">
      <t>セオヨ</t>
    </rPh>
    <phoneticPr fontId="4"/>
  </si>
  <si>
    <t>個人メドレー</t>
    <rPh sb="0" eb="2">
      <t>コジン</t>
    </rPh>
    <phoneticPr fontId="4"/>
  </si>
  <si>
    <t>バタフライ</t>
    <phoneticPr fontId="4"/>
  </si>
  <si>
    <t>岡山県立　倉敷天城中学校</t>
    <rPh sb="0" eb="4">
      <t>オカヤマケンリツ</t>
    </rPh>
    <rPh sb="5" eb="7">
      <t>クラシキ</t>
    </rPh>
    <rPh sb="7" eb="9">
      <t>アマキ</t>
    </rPh>
    <rPh sb="9" eb="12">
      <t>チュウガッコウ</t>
    </rPh>
    <phoneticPr fontId="4"/>
  </si>
  <si>
    <t>個人メドレー</t>
    <rPh sb="0" eb="6">
      <t>コジンメ</t>
    </rPh>
    <phoneticPr fontId="4"/>
  </si>
  <si>
    <t>体育大会</t>
    <rPh sb="0" eb="4">
      <t>タイイクタイカイ</t>
    </rPh>
    <phoneticPr fontId="4"/>
  </si>
  <si>
    <t>総合</t>
  </si>
  <si>
    <t>女子</t>
    <rPh sb="0" eb="2">
      <t>joシ</t>
    </rPh>
    <phoneticPr fontId="4"/>
  </si>
  <si>
    <t>役員</t>
    <rPh sb="0" eb="2">
      <t>ヤクイN</t>
    </rPh>
    <phoneticPr fontId="4"/>
  </si>
  <si>
    <t>審判長・副審判長</t>
    <rPh sb="0" eb="3">
      <t>シンパンチョウ</t>
    </rPh>
    <rPh sb="4" eb="8">
      <t>フクシンパンチョウ</t>
    </rPh>
    <phoneticPr fontId="4"/>
  </si>
  <si>
    <t>出発合図</t>
    <rPh sb="0" eb="4">
      <t>シュッパツアイズ</t>
    </rPh>
    <phoneticPr fontId="4"/>
  </si>
  <si>
    <t>観察（泳法・折り返し）</t>
    <rPh sb="0" eb="2">
      <t>カンサツ</t>
    </rPh>
    <rPh sb="3" eb="5">
      <t>エイホウ</t>
    </rPh>
    <rPh sb="6" eb="7">
      <t>オ</t>
    </rPh>
    <rPh sb="8" eb="9">
      <t>カエ</t>
    </rPh>
    <phoneticPr fontId="4"/>
  </si>
  <si>
    <t>着順</t>
    <rPh sb="0" eb="2">
      <t>チャクジュN</t>
    </rPh>
    <phoneticPr fontId="4"/>
  </si>
  <si>
    <t>計時</t>
    <rPh sb="0" eb="2">
      <t>ケイジ</t>
    </rPh>
    <phoneticPr fontId="4"/>
  </si>
  <si>
    <t>記録</t>
    <rPh sb="0" eb="2">
      <t>キロク</t>
    </rPh>
    <phoneticPr fontId="4"/>
  </si>
  <si>
    <t>コンピュータ</t>
    <phoneticPr fontId="4"/>
  </si>
  <si>
    <t>通告</t>
    <rPh sb="0" eb="2">
      <t>ツウコク</t>
    </rPh>
    <phoneticPr fontId="4"/>
  </si>
  <si>
    <t>招集</t>
    <rPh sb="0" eb="2">
      <t>ショウシュウ</t>
    </rPh>
    <phoneticPr fontId="4"/>
  </si>
  <si>
    <t>救護</t>
    <rPh sb="0" eb="2">
      <t>キュウゴ</t>
    </rPh>
    <phoneticPr fontId="4"/>
  </si>
  <si>
    <t>場内指令</t>
    <rPh sb="0" eb="4">
      <t>ジョウナイシレイ</t>
    </rPh>
    <phoneticPr fontId="4"/>
  </si>
  <si>
    <t>はじめて</t>
    <phoneticPr fontId="4"/>
  </si>
  <si>
    <t>種目1</t>
    <rPh sb="0" eb="2">
      <t>シュモク</t>
    </rPh>
    <phoneticPr fontId="4"/>
  </si>
  <si>
    <t>種目2</t>
    <rPh sb="0" eb="2">
      <t>シュモク</t>
    </rPh>
    <phoneticPr fontId="4"/>
  </si>
  <si>
    <t>同種目確認</t>
    <rPh sb="0" eb="3">
      <t>ドウシュモク</t>
    </rPh>
    <rPh sb="3" eb="5">
      <t>カクニN</t>
    </rPh>
    <phoneticPr fontId="4"/>
  </si>
  <si>
    <t>種目1秒未入力確認</t>
    <rPh sb="0" eb="2">
      <t>シュモク</t>
    </rPh>
    <rPh sb="3" eb="4">
      <t>ビョウ</t>
    </rPh>
    <rPh sb="4" eb="9">
      <t>ミニュウリョクカクニN</t>
    </rPh>
    <phoneticPr fontId="4"/>
  </si>
  <si>
    <t>種目2秒未入力確認</t>
    <rPh sb="0" eb="2">
      <t>シュモク</t>
    </rPh>
    <rPh sb="3" eb="4">
      <t>ビョウ</t>
    </rPh>
    <rPh sb="4" eb="9">
      <t>ミニュウリョクカクニN</t>
    </rPh>
    <phoneticPr fontId="4"/>
  </si>
  <si>
    <t>男子50自由形</t>
    <rPh sb="0" eb="2">
      <t>ダンシ</t>
    </rPh>
    <rPh sb="4" eb="7">
      <t>ジユウガタ</t>
    </rPh>
    <phoneticPr fontId="4"/>
  </si>
  <si>
    <t>男子100自由形</t>
    <rPh sb="0" eb="2">
      <t>ダンシ</t>
    </rPh>
    <rPh sb="5" eb="8">
      <t>ジユウガタ</t>
    </rPh>
    <phoneticPr fontId="4"/>
  </si>
  <si>
    <t>女子100自由形</t>
    <rPh sb="0" eb="2">
      <t>ジョシ</t>
    </rPh>
    <rPh sb="5" eb="8">
      <t>ジユウガタ</t>
    </rPh>
    <phoneticPr fontId="4"/>
  </si>
  <si>
    <t>男子100平泳ぎ</t>
    <rPh sb="0" eb="2">
      <t>ダンシ</t>
    </rPh>
    <rPh sb="5" eb="7">
      <t>ヒラオヨ</t>
    </rPh>
    <phoneticPr fontId="4"/>
  </si>
  <si>
    <t>女子100平泳ぎ</t>
    <rPh sb="0" eb="2">
      <t>ジョシ</t>
    </rPh>
    <rPh sb="5" eb="7">
      <t>ヒラオヨ</t>
    </rPh>
    <phoneticPr fontId="4"/>
  </si>
  <si>
    <t>男子100バタフライ</t>
    <rPh sb="0" eb="2">
      <t>ダンシ</t>
    </rPh>
    <phoneticPr fontId="4"/>
  </si>
  <si>
    <t>女子100バタフライ</t>
    <rPh sb="0" eb="2">
      <t>ジョシ</t>
    </rPh>
    <phoneticPr fontId="4"/>
  </si>
  <si>
    <t>男子100背泳ぎ</t>
    <rPh sb="0" eb="2">
      <t>ダンシ</t>
    </rPh>
    <rPh sb="5" eb="7">
      <t>セオヨ</t>
    </rPh>
    <phoneticPr fontId="4"/>
  </si>
  <si>
    <t>女子100背泳ぎ</t>
    <rPh sb="0" eb="2">
      <t>ジョシ100</t>
    </rPh>
    <rPh sb="5" eb="7">
      <t>セオヨ</t>
    </rPh>
    <phoneticPr fontId="4"/>
  </si>
  <si>
    <t>男子200自由形</t>
    <rPh sb="0" eb="2">
      <t>ダンシ</t>
    </rPh>
    <rPh sb="5" eb="8">
      <t>ジユウガタ</t>
    </rPh>
    <phoneticPr fontId="4"/>
  </si>
  <si>
    <t>女子200自由形</t>
    <rPh sb="0" eb="2">
      <t>ジョシ</t>
    </rPh>
    <rPh sb="5" eb="8">
      <t>ジユウ</t>
    </rPh>
    <phoneticPr fontId="4"/>
  </si>
  <si>
    <t>男子200平泳ぎ</t>
    <rPh sb="0" eb="2">
      <t>ダンシ</t>
    </rPh>
    <rPh sb="5" eb="8">
      <t>ヒラオ</t>
    </rPh>
    <phoneticPr fontId="4"/>
  </si>
  <si>
    <t>女子200平泳ぎ</t>
    <rPh sb="0" eb="2">
      <t>ジョシ</t>
    </rPh>
    <rPh sb="5" eb="8">
      <t>ヒ</t>
    </rPh>
    <phoneticPr fontId="4"/>
  </si>
  <si>
    <t>男子200バタフライ</t>
    <rPh sb="0" eb="2">
      <t>ダンシ</t>
    </rPh>
    <phoneticPr fontId="4"/>
  </si>
  <si>
    <t>男子200背泳ぎ</t>
    <rPh sb="0" eb="2">
      <t>ダンシ</t>
    </rPh>
    <rPh sb="5" eb="7">
      <t>セオヨ</t>
    </rPh>
    <phoneticPr fontId="4"/>
  </si>
  <si>
    <t>女子200背泳ぎ</t>
    <rPh sb="0" eb="2">
      <t>ジョシ</t>
    </rPh>
    <rPh sb="5" eb="7">
      <t>セオヨ</t>
    </rPh>
    <phoneticPr fontId="4"/>
  </si>
  <si>
    <t>男子200個人メドレー</t>
    <rPh sb="0" eb="2">
      <t>ダンシ</t>
    </rPh>
    <rPh sb="5" eb="7">
      <t>コジンメ</t>
    </rPh>
    <phoneticPr fontId="4"/>
  </si>
  <si>
    <t>女子200個人メドレー</t>
    <rPh sb="0" eb="2">
      <t>ジョシ</t>
    </rPh>
    <rPh sb="5" eb="7">
      <t>コジン</t>
    </rPh>
    <phoneticPr fontId="4"/>
  </si>
  <si>
    <t>男子400自由形</t>
    <rPh sb="0" eb="2">
      <t>ダンシ</t>
    </rPh>
    <rPh sb="5" eb="8">
      <t>ジユウガタ</t>
    </rPh>
    <phoneticPr fontId="4"/>
  </si>
  <si>
    <t>女子400自由形</t>
    <rPh sb="0" eb="2">
      <t>ジョシ</t>
    </rPh>
    <rPh sb="5" eb="8">
      <t>ジユ</t>
    </rPh>
    <phoneticPr fontId="4"/>
  </si>
  <si>
    <t>女子50自由形</t>
    <rPh sb="0" eb="1">
      <t>オンナ</t>
    </rPh>
    <rPh sb="1" eb="2">
      <t>ダンシ</t>
    </rPh>
    <rPh sb="4" eb="7">
      <t>ジユウガタ</t>
    </rPh>
    <phoneticPr fontId="4"/>
  </si>
  <si>
    <t>新人</t>
    <rPh sb="0" eb="2">
      <t>シンジN</t>
    </rPh>
    <phoneticPr fontId="4"/>
  </si>
  <si>
    <t>男子50平泳ぎ</t>
    <rPh sb="0" eb="2">
      <t>ダンシ</t>
    </rPh>
    <rPh sb="4" eb="7">
      <t>ヒラ</t>
    </rPh>
    <phoneticPr fontId="4"/>
  </si>
  <si>
    <t>女子50平泳ぎ</t>
    <rPh sb="0" eb="1">
      <t>オンナ</t>
    </rPh>
    <rPh sb="1" eb="2">
      <t>ダンシ</t>
    </rPh>
    <rPh sb="4" eb="7">
      <t>ヒラ</t>
    </rPh>
    <phoneticPr fontId="4"/>
  </si>
  <si>
    <t>男子50バタフライ</t>
    <rPh sb="0" eb="2">
      <t>ダンシ</t>
    </rPh>
    <phoneticPr fontId="4"/>
  </si>
  <si>
    <t>女子50バタフライ</t>
    <rPh sb="0" eb="1">
      <t>オンナ</t>
    </rPh>
    <rPh sb="1" eb="2">
      <t>ダンシ</t>
    </rPh>
    <phoneticPr fontId="4"/>
  </si>
  <si>
    <t>男子50背泳ぎ</t>
    <rPh sb="0" eb="2">
      <t>ダンシ</t>
    </rPh>
    <rPh sb="4" eb="7">
      <t>セオY</t>
    </rPh>
    <phoneticPr fontId="4"/>
  </si>
  <si>
    <t>女子50背泳ぎ</t>
    <rPh sb="0" eb="1">
      <t>オンナ</t>
    </rPh>
    <rPh sb="1" eb="2">
      <t>ダンシ</t>
    </rPh>
    <rPh sb="4" eb="7">
      <t>セオ</t>
    </rPh>
    <phoneticPr fontId="4"/>
  </si>
  <si>
    <t>総合</t>
    <rPh sb="0" eb="2">
      <t>ソウゴウ</t>
    </rPh>
    <phoneticPr fontId="4"/>
  </si>
  <si>
    <t>種目名</t>
    <rPh sb="0" eb="3">
      <t>シュモクメイ</t>
    </rPh>
    <phoneticPr fontId="4"/>
  </si>
  <si>
    <t>登録人数</t>
    <rPh sb="0" eb="4">
      <t>トウロクニンズウ</t>
    </rPh>
    <phoneticPr fontId="4"/>
  </si>
  <si>
    <t>種目人数</t>
    <rPh sb="0" eb="4">
      <t>シュモクニンズウ</t>
    </rPh>
    <phoneticPr fontId="4"/>
  </si>
  <si>
    <t>人数多</t>
    <rPh sb="0" eb="2">
      <t>ニンズウ</t>
    </rPh>
    <rPh sb="2" eb="3">
      <t>タ</t>
    </rPh>
    <phoneticPr fontId="4"/>
  </si>
  <si>
    <t>要項の種目を確認してください。要項にない種目の場合出場できませんのでご確認ください。"</t>
    <phoneticPr fontId="4"/>
  </si>
  <si>
    <t>学校名</t>
    <rPh sb="0" eb="3">
      <t>ガッコウメイ</t>
    </rPh>
    <phoneticPr fontId="4"/>
  </si>
  <si>
    <t>ﾖﾐｶﾞﾅ</t>
    <phoneticPr fontId="4"/>
  </si>
  <si>
    <t>正式学校名</t>
    <rPh sb="0" eb="5">
      <t>セイシキガッコウメイ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</si>
  <si>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</si>
  <si>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</si>
  <si>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</t>
    <rPh sb="0" eb="2">
      <t>デンワ</t>
    </rPh>
    <phoneticPr fontId="4"/>
  </si>
  <si>
    <t>FAX</t>
    <phoneticPr fontId="4"/>
  </si>
  <si>
    <t>メールアドレス</t>
    <phoneticPr fontId="4"/>
  </si>
  <si>
    <t>hayashima-jhs@te.hayashima-j.ed.jp</t>
  </si>
  <si>
    <t>086-482-0119</t>
  </si>
  <si>
    <t>086-427-4118</t>
  </si>
  <si>
    <t>086-427-4113</t>
  </si>
  <si>
    <t>086-422-4671</t>
    <phoneticPr fontId="4"/>
  </si>
  <si>
    <t>086-463-2995</t>
    <phoneticPr fontId="4"/>
  </si>
  <si>
    <t>086-428-4837</t>
    <phoneticPr fontId="4"/>
  </si>
  <si>
    <t>086-427-4121</t>
    <phoneticPr fontId="4"/>
  </si>
  <si>
    <t>086-428-4769</t>
    <phoneticPr fontId="4"/>
  </si>
  <si>
    <t>086-463-2943</t>
    <phoneticPr fontId="4"/>
  </si>
  <si>
    <t>086-455-4374</t>
  </si>
  <si>
    <t>086-455-5672</t>
  </si>
  <si>
    <t>086-444-5269</t>
  </si>
  <si>
    <t>086-448-7763</t>
    <phoneticPr fontId="4"/>
  </si>
  <si>
    <t>086-472-2905</t>
    <phoneticPr fontId="4"/>
  </si>
  <si>
    <t>086-479-9423</t>
    <phoneticPr fontId="4"/>
  </si>
  <si>
    <t>086-473-2720</t>
    <phoneticPr fontId="4"/>
  </si>
  <si>
    <t>086-474-0762</t>
    <phoneticPr fontId="4"/>
  </si>
  <si>
    <t>086-485-3496</t>
    <phoneticPr fontId="4"/>
  </si>
  <si>
    <t>086-522-5340</t>
    <phoneticPr fontId="4"/>
  </si>
  <si>
    <t xml:space="preserve">ts3553 @kurashiki-oky.ed.jp </t>
  </si>
  <si>
    <t>086-522-5380</t>
    <phoneticPr fontId="4"/>
  </si>
  <si>
    <t>086-522-5572</t>
  </si>
  <si>
    <t>ts3555@kurashiki-oky.ed.jp</t>
  </si>
  <si>
    <t>086-528-2634</t>
    <phoneticPr fontId="4"/>
  </si>
  <si>
    <t>ts3556@kurashiki-oky.ed.jp</t>
    <phoneticPr fontId="4"/>
  </si>
  <si>
    <t>086-552-9033</t>
    <phoneticPr fontId="4"/>
  </si>
  <si>
    <t>ts3769@kurashiki-oky.ed.jp</t>
    <phoneticPr fontId="4"/>
  </si>
  <si>
    <t>086-698-5257</t>
    <phoneticPr fontId="4"/>
  </si>
  <si>
    <t>086-698-5030</t>
    <phoneticPr fontId="4"/>
  </si>
  <si>
    <t>ts3818@kurashiki-oky.ed.jp</t>
    <phoneticPr fontId="4"/>
  </si>
  <si>
    <t>26</t>
    <phoneticPr fontId="4"/>
  </si>
  <si>
    <t>25</t>
    <phoneticPr fontId="4"/>
  </si>
  <si>
    <t>ﾏｷﾋﾞ</t>
    <phoneticPr fontId="4"/>
  </si>
  <si>
    <t>086-429-3496</t>
  </si>
  <si>
    <t>0866-94-2838</t>
    <phoneticPr fontId="4"/>
  </si>
  <si>
    <t>sojatyu@soja-jh.soja.ed.jp</t>
    <phoneticPr fontId="4"/>
  </si>
  <si>
    <t>0866-94-2837</t>
    <phoneticPr fontId="4"/>
  </si>
  <si>
    <t>0866-94-2836</t>
  </si>
  <si>
    <t>086-463-0223</t>
    <phoneticPr fontId="4"/>
  </si>
  <si>
    <t>086-448-7654</t>
  </si>
  <si>
    <t>0866-99-2546</t>
    <phoneticPr fontId="4"/>
  </si>
  <si>
    <t>　　Ｅ−MAIL</t>
    <phoneticPr fontId="4"/>
  </si>
  <si>
    <t>086-466-5458</t>
    <phoneticPr fontId="4"/>
  </si>
  <si>
    <t>E-Mail</t>
    <phoneticPr fontId="4"/>
  </si>
  <si>
    <t>ｴﾝﾄﾘｰ3(5)</t>
  </si>
  <si>
    <t>ｴﾝﾄﾘｰﾀｲﾑ3(7)</t>
  </si>
  <si>
    <t>ｴﾝﾄﾘｰ4(5)</t>
  </si>
  <si>
    <t>ｴﾝﾄﾘｰﾀｲﾑ4(7)</t>
  </si>
  <si>
    <t>ｴﾝﾄﾘｰ5(5)</t>
  </si>
  <si>
    <t>ｴﾝﾄﾘｰﾀｲﾑ5(7)</t>
  </si>
  <si>
    <t>ｴﾝﾄﾘｰ6(1)</t>
  </si>
  <si>
    <t>ｴﾝﾄﾘｰﾀｲﾑ6(7)</t>
  </si>
  <si>
    <t>ｴﾝﾄﾘｰ7(5)</t>
  </si>
  <si>
    <t>ｴﾝﾄﾘｰﾀｲﾑ7(7)</t>
  </si>
  <si>
    <t>ｴﾝﾄﾘｰ8(5)</t>
  </si>
  <si>
    <t>ｴﾝﾄﾘｰﾀｲﾑ8(7)</t>
  </si>
  <si>
    <t>ｴﾝﾄﾘｰ9(5)</t>
  </si>
  <si>
    <t>ｴﾝﾄﾘｰﾀｲﾑ9(7)</t>
  </si>
  <si>
    <t>ｴﾝﾄﾘｰ10(5)</t>
  </si>
  <si>
    <t>ｴﾝﾄﾘｰﾀｲﾑ10(7)</t>
  </si>
  <si>
    <t>086552-2043</t>
    <phoneticPr fontId="4"/>
  </si>
  <si>
    <t>(メールで連絡を取れる方は必ずチェックするアドレスを公的・私的どちらでも記入してください）</t>
    <rPh sb="5" eb="7">
      <t>レンラク</t>
    </rPh>
    <rPh sb="8" eb="9">
      <t>ト</t>
    </rPh>
    <rPh sb="11" eb="12">
      <t>カタ</t>
    </rPh>
    <rPh sb="13" eb="14">
      <t>カナラ</t>
    </rPh>
    <rPh sb="26" eb="28">
      <t>コウテキ</t>
    </rPh>
    <rPh sb="29" eb="31">
      <t>シテキ</t>
    </rPh>
    <rPh sb="36" eb="38">
      <t>キニュウ</t>
    </rPh>
    <phoneticPr fontId="4"/>
  </si>
  <si>
    <t>令和</t>
    <rPh sb="0" eb="2">
      <t>レイワ</t>
    </rPh>
    <phoneticPr fontId="4"/>
  </si>
  <si>
    <t>種目</t>
    <rPh sb="0" eb="2">
      <t>シュモク</t>
    </rPh>
    <phoneticPr fontId="5"/>
  </si>
  <si>
    <r>
      <t>台風など</t>
    </r>
    <r>
      <rPr>
        <sz val="9"/>
        <color rgb="FFFF0000"/>
        <rFont val="ＭＳ Ｐゴシック"/>
        <family val="3"/>
        <charset val="128"/>
      </rPr>
      <t>前日までに</t>
    </r>
    <r>
      <rPr>
        <sz val="9"/>
        <rFont val="ＭＳ Ｐゴシック"/>
        <family val="3"/>
        <charset val="128"/>
      </rPr>
      <t>試合日程について緊急連絡を取ることがあります。（当日の中止決定はWeb上でのみ対応します）</t>
    </r>
    <rPh sb="0" eb="2">
      <t>タイフウ</t>
    </rPh>
    <rPh sb="4" eb="6">
      <t>ゼンジツ</t>
    </rPh>
    <rPh sb="9" eb="13">
      <t>シアイニッテイ</t>
    </rPh>
    <rPh sb="17" eb="21">
      <t>キンキュウレンラク</t>
    </rPh>
    <rPh sb="22" eb="23">
      <t>ト</t>
    </rPh>
    <rPh sb="33" eb="35">
      <t>トウジツ</t>
    </rPh>
    <rPh sb="36" eb="38">
      <t>チュウシ</t>
    </rPh>
    <rPh sb="38" eb="40">
      <t>ケッテイ</t>
    </rPh>
    <rPh sb="44" eb="45">
      <t>ジョウ</t>
    </rPh>
    <rPh sb="48" eb="50">
      <t>タイオウ</t>
    </rPh>
    <phoneticPr fontId="4"/>
  </si>
  <si>
    <t>役員</t>
    <rPh sb="0" eb="2">
      <t>ヤクイン</t>
    </rPh>
    <phoneticPr fontId="4"/>
  </si>
  <si>
    <t>を文字入力、</t>
    <rPh sb="1" eb="3">
      <t>モジ</t>
    </rPh>
    <rPh sb="3" eb="5">
      <t>ニュウリョク</t>
    </rPh>
    <phoneticPr fontId="4"/>
  </si>
  <si>
    <t>をプルダウンメニューから選択してください。</t>
    <rPh sb="12" eb="14">
      <t>センタク</t>
    </rPh>
    <phoneticPr fontId="4"/>
  </si>
  <si>
    <t>入力箇所：</t>
    <rPh sb="0" eb="2">
      <t>ニュウリョク</t>
    </rPh>
    <rPh sb="2" eb="4">
      <t>カショ</t>
    </rPh>
    <phoneticPr fontId="4"/>
  </si>
  <si>
    <t>引率①氏名</t>
    <rPh sb="0" eb="2">
      <t>インソツ</t>
    </rPh>
    <rPh sb="3" eb="5">
      <t>シメイ</t>
    </rPh>
    <phoneticPr fontId="4"/>
  </si>
  <si>
    <t>引率②氏名</t>
    <rPh sb="0" eb="2">
      <t>インソツ</t>
    </rPh>
    <rPh sb="3" eb="5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</si>
</sst>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e"/>
    <numFmt numFmtId="178" formatCode="[$-411]ge\.m\.d;@"/>
    <numFmt numFmtId="179" formatCode="0_ 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ＪＳ明朝"/>
      <family val="1"/>
      <charset val="128"/>
    </font>
    <font>
      <b/>
      <sz val="22"/>
      <color indexed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4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4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FF66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color rgb="FFFFFF66"/>
      <name val="ＭＳ Ｐゴシック"/>
      <family val="3"/>
      <charset val="128"/>
    </font>
    <font>
      <sz val="11"/>
      <color rgb="FFFFFF87"/>
      <name val="ＭＳ Ｐゴシック"/>
      <family val="3"/>
      <charset val="128"/>
    </font>
    <font>
      <sz val="10"/>
      <color indexed="81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39AE5"/>
        <bgColor indexed="64"/>
      </patternFill>
    </fill>
    <fill>
      <patternFill patternType="solid">
        <fgColor theme="8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8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3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6" xfId="0" applyFont="1" applyBorder="1">
      <alignment vertical="center"/>
    </xf>
    <xf numFmtId="0" fontId="9" fillId="0" borderId="0" xfId="0" applyFont="1" applyAlignment="1">
      <alignment horizontal="left" vertical="center" shrinkToFit="1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49" fontId="0" fillId="3" borderId="11" xfId="0" applyNumberFormat="1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49" fontId="0" fillId="3" borderId="14" xfId="0" applyNumberFormat="1" applyFill="1" applyBorder="1" applyAlignment="1" applyProtection="1">
      <alignment horizontal="center" vertical="center"/>
      <protection locked="0"/>
    </xf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7" xfId="0" applyBorder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9" fontId="0" fillId="0" borderId="9" xfId="0" applyNumberFormat="1" applyBorder="1">
      <alignment vertical="center"/>
    </xf>
    <xf numFmtId="0" fontId="0" fillId="0" borderId="9" xfId="0" applyBorder="1">
      <alignment vertical="center"/>
    </xf>
    <xf numFmtId="49" fontId="0" fillId="3" borderId="18" xfId="0" applyNumberFormat="1" applyFill="1" applyBorder="1" applyAlignment="1" applyProtection="1">
      <alignment horizontal="center" vertical="center"/>
      <protection locked="0"/>
    </xf>
    <xf numFmtId="49" fontId="0" fillId="3" borderId="19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49" fontId="8" fillId="5" borderId="20" xfId="2" applyNumberFormat="1" applyFont="1" applyFill="1" applyBorder="1" applyAlignment="1">
      <alignment horizontal="center"/>
    </xf>
    <xf numFmtId="49" fontId="8" fillId="5" borderId="21" xfId="2" applyNumberFormat="1" applyFont="1" applyFill="1" applyBorder="1" applyAlignment="1">
      <alignment horizontal="center"/>
    </xf>
    <xf numFmtId="49" fontId="8" fillId="5" borderId="22" xfId="2" applyNumberFormat="1" applyFont="1" applyFill="1" applyBorder="1" applyAlignment="1">
      <alignment horizont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49" fontId="0" fillId="4" borderId="0" xfId="0" applyNumberFormat="1" applyFill="1">
      <alignment vertical="center"/>
    </xf>
    <xf numFmtId="0" fontId="2" fillId="4" borderId="0" xfId="0" applyFont="1" applyFill="1">
      <alignment vertical="center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2" fillId="5" borderId="3" xfId="2" applyNumberFormat="1" applyFill="1" applyBorder="1" applyAlignment="1">
      <alignment horizontal="center"/>
    </xf>
    <xf numFmtId="49" fontId="2" fillId="5" borderId="1" xfId="2" applyNumberFormat="1" applyFill="1" applyBorder="1" applyAlignment="1">
      <alignment horizontal="center"/>
    </xf>
    <xf numFmtId="49" fontId="2" fillId="5" borderId="4" xfId="2" applyNumberFormat="1" applyFill="1" applyBorder="1" applyAlignment="1">
      <alignment horizontal="center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4" xfId="0" applyNumberFormat="1" applyFill="1" applyBorder="1" applyAlignment="1" applyProtection="1">
      <alignment horizontal="center" vertical="center"/>
      <protection locked="0"/>
    </xf>
    <xf numFmtId="49" fontId="19" fillId="4" borderId="0" xfId="0" applyNumberFormat="1" applyFont="1" applyFill="1">
      <alignment vertical="center"/>
    </xf>
    <xf numFmtId="0" fontId="19" fillId="4" borderId="0" xfId="0" applyFont="1" applyFill="1">
      <alignment vertical="center"/>
    </xf>
    <xf numFmtId="0" fontId="18" fillId="0" borderId="0" xfId="0" applyFont="1">
      <alignment vertical="center"/>
    </xf>
    <xf numFmtId="0" fontId="17" fillId="0" borderId="0" xfId="3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25" xfId="0" applyBorder="1">
      <alignment vertical="center"/>
    </xf>
    <xf numFmtId="0" fontId="21" fillId="4" borderId="0" xfId="0" applyFont="1" applyFill="1">
      <alignment vertical="center"/>
    </xf>
    <xf numFmtId="0" fontId="8" fillId="5" borderId="9" xfId="0" applyFont="1" applyFill="1" applyBorder="1" applyProtection="1">
      <alignment vertical="center"/>
      <protection locked="0"/>
    </xf>
    <xf numFmtId="0" fontId="22" fillId="4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7" fillId="4" borderId="0" xfId="1" applyFont="1" applyFill="1" applyBorder="1" applyAlignment="1" applyProtection="1">
      <alignment vertical="center"/>
    </xf>
    <xf numFmtId="0" fontId="23" fillId="4" borderId="0" xfId="1" applyFont="1" applyFill="1" applyBorder="1" applyAlignment="1" applyProtection="1">
      <alignment vertical="center"/>
    </xf>
    <xf numFmtId="0" fontId="26" fillId="4" borderId="0" xfId="1" applyFont="1" applyFill="1" applyBorder="1" applyAlignment="1" applyProtection="1">
      <alignment vertical="center"/>
    </xf>
    <xf numFmtId="0" fontId="8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 vertical="center" wrapText="1" indent="1"/>
    </xf>
    <xf numFmtId="0" fontId="9" fillId="0" borderId="26" xfId="0" applyFont="1" applyBorder="1" applyAlignment="1">
      <alignment horizontal="center" vertical="center"/>
    </xf>
    <xf numFmtId="0" fontId="27" fillId="4" borderId="0" xfId="0" applyFont="1" applyFill="1" applyAlignment="1">
      <alignment horizontal="center" vertical="top" wrapText="1" shrinkToFit="1"/>
    </xf>
    <xf numFmtId="0" fontId="28" fillId="4" borderId="0" xfId="0" applyFont="1" applyFill="1" applyAlignment="1">
      <alignment horizontal="center" vertical="top" wrapText="1" shrinkToFit="1"/>
    </xf>
    <xf numFmtId="0" fontId="0" fillId="4" borderId="27" xfId="0" applyFill="1" applyBorder="1">
      <alignment vertical="center"/>
    </xf>
    <xf numFmtId="0" fontId="0" fillId="4" borderId="17" xfId="0" applyFill="1" applyBorder="1">
      <alignment vertical="center"/>
    </xf>
    <xf numFmtId="0" fontId="8" fillId="4" borderId="27" xfId="0" applyFont="1" applyFill="1" applyBorder="1">
      <alignment vertical="center"/>
    </xf>
    <xf numFmtId="0" fontId="21" fillId="4" borderId="27" xfId="0" applyFont="1" applyFill="1" applyBorder="1">
      <alignment vertical="center"/>
    </xf>
    <xf numFmtId="0" fontId="0" fillId="4" borderId="28" xfId="0" applyFill="1" applyBorder="1">
      <alignment vertical="center"/>
    </xf>
    <xf numFmtId="0" fontId="0" fillId="4" borderId="29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0" xfId="0" applyFill="1" applyAlignment="1">
      <alignment horizontal="right"/>
    </xf>
    <xf numFmtId="0" fontId="29" fillId="4" borderId="0" xfId="0" applyFont="1" applyFill="1">
      <alignment vertical="center"/>
    </xf>
    <xf numFmtId="0" fontId="29" fillId="4" borderId="0" xfId="0" applyFont="1" applyFill="1" applyAlignment="1">
      <alignment horizontal="center"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29" fillId="4" borderId="32" xfId="0" applyFont="1" applyFill="1" applyBorder="1">
      <alignment vertical="center"/>
    </xf>
    <xf numFmtId="0" fontId="0" fillId="4" borderId="33" xfId="0" applyFill="1" applyBorder="1">
      <alignment vertical="center"/>
    </xf>
    <xf numFmtId="0" fontId="0" fillId="3" borderId="16" xfId="0" applyFill="1" applyBorder="1" applyAlignment="1" applyProtection="1">
      <alignment horizontal="center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24" xfId="0" applyNumberFormat="1" applyFill="1" applyBorder="1" applyAlignment="1" applyProtection="1">
      <alignment horizontal="center" vertical="center"/>
      <protection locked="0"/>
    </xf>
    <xf numFmtId="49" fontId="0" fillId="3" borderId="35" xfId="0" applyNumberFormat="1" applyFill="1" applyBorder="1" applyAlignment="1" applyProtection="1">
      <alignment horizontal="center" vertical="center"/>
      <protection locked="0"/>
    </xf>
    <xf numFmtId="49" fontId="0" fillId="2" borderId="31" xfId="0" applyNumberFormat="1" applyFill="1" applyBorder="1" applyAlignment="1">
      <alignment horizontal="center" vertical="center"/>
    </xf>
    <xf numFmtId="49" fontId="0" fillId="2" borderId="36" xfId="0" applyNumberFormat="1" applyFill="1" applyBorder="1" applyAlignment="1">
      <alignment horizontal="center" vertical="center"/>
    </xf>
    <xf numFmtId="49" fontId="8" fillId="5" borderId="37" xfId="2" applyNumberFormat="1" applyFont="1" applyFill="1" applyBorder="1" applyAlignment="1">
      <alignment horizontal="center"/>
    </xf>
    <xf numFmtId="49" fontId="8" fillId="5" borderId="1" xfId="2" applyNumberFormat="1" applyFont="1" applyFill="1" applyBorder="1" applyAlignment="1">
      <alignment horizontal="center"/>
    </xf>
    <xf numFmtId="49" fontId="8" fillId="5" borderId="4" xfId="2" applyNumberFormat="1" applyFont="1" applyFill="1" applyBorder="1" applyAlignment="1">
      <alignment horizontal="center"/>
    </xf>
    <xf numFmtId="0" fontId="8" fillId="4" borderId="0" xfId="0" applyFont="1" applyFill="1" applyAlignment="1">
      <alignment horizontal="left" vertical="center" indent="1"/>
    </xf>
    <xf numFmtId="0" fontId="0" fillId="2" borderId="9" xfId="0" applyFill="1" applyBorder="1">
      <alignment vertical="center"/>
    </xf>
    <xf numFmtId="0" fontId="0" fillId="2" borderId="0" xfId="0" applyFill="1">
      <alignment vertical="center"/>
    </xf>
    <xf numFmtId="49" fontId="0" fillId="6" borderId="9" xfId="0" applyNumberFormat="1" applyFill="1" applyBorder="1">
      <alignment vertical="center"/>
    </xf>
    <xf numFmtId="0" fontId="0" fillId="6" borderId="9" xfId="0" applyFill="1" applyBorder="1" applyAlignment="1">
      <alignment horizontal="left"/>
    </xf>
    <xf numFmtId="49" fontId="0" fillId="6" borderId="0" xfId="0" applyNumberFormat="1" applyFill="1">
      <alignment vertical="center"/>
    </xf>
    <xf numFmtId="49" fontId="0" fillId="5" borderId="9" xfId="0" applyNumberFormat="1" applyFill="1" applyBorder="1">
      <alignment vertical="center"/>
    </xf>
    <xf numFmtId="0" fontId="0" fillId="5" borderId="9" xfId="0" applyFill="1" applyBorder="1" applyAlignment="1">
      <alignment horizontal="left" vertical="center"/>
    </xf>
    <xf numFmtId="0" fontId="0" fillId="5" borderId="9" xfId="0" applyFill="1" applyBorder="1">
      <alignment vertical="center"/>
    </xf>
    <xf numFmtId="49" fontId="0" fillId="5" borderId="0" xfId="0" applyNumberFormat="1" applyFill="1">
      <alignment vertical="center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31" fillId="4" borderId="0" xfId="0" applyFont="1" applyFill="1">
      <alignment vertical="center"/>
    </xf>
    <xf numFmtId="0" fontId="32" fillId="4" borderId="0" xfId="0" applyFont="1" applyFill="1">
      <alignment vertical="center"/>
    </xf>
    <xf numFmtId="0" fontId="18" fillId="0" borderId="38" xfId="0" applyFont="1" applyBorder="1" applyAlignment="1">
      <alignment horizontal="center" vertical="center"/>
    </xf>
    <xf numFmtId="0" fontId="7" fillId="4" borderId="0" xfId="0" applyFont="1" applyFill="1" applyAlignment="1" applyProtection="1">
      <alignment horizontal="left" vertical="center" wrapText="1" indent="1" shrinkToFit="1"/>
      <protection locked="0"/>
    </xf>
    <xf numFmtId="0" fontId="24" fillId="0" borderId="0" xfId="0" applyFont="1" applyAlignment="1">
      <alignment horizontal="right" vertical="center"/>
    </xf>
    <xf numFmtId="0" fontId="8" fillId="5" borderId="22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49" fontId="34" fillId="2" borderId="1" xfId="0" applyNumberFormat="1" applyFont="1" applyFill="1" applyBorder="1" applyAlignment="1">
      <alignment horizontal="left" vertical="center"/>
    </xf>
    <xf numFmtId="49" fontId="34" fillId="3" borderId="16" xfId="0" applyNumberFormat="1" applyFont="1" applyFill="1" applyBorder="1" applyAlignment="1" applyProtection="1">
      <alignment horizontal="left" vertical="center"/>
      <protection locked="0"/>
    </xf>
    <xf numFmtId="49" fontId="34" fillId="3" borderId="9" xfId="0" applyNumberFormat="1" applyFont="1" applyFill="1" applyBorder="1" applyAlignment="1" applyProtection="1">
      <alignment horizontal="left" vertical="center"/>
      <protection locked="0"/>
    </xf>
    <xf numFmtId="49" fontId="34" fillId="3" borderId="13" xfId="0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>
      <alignment vertical="center"/>
    </xf>
    <xf numFmtId="0" fontId="0" fillId="4" borderId="0" xfId="0" applyFill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7" borderId="39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39" xfId="0" applyFill="1" applyBorder="1" applyAlignment="1">
      <alignment horizontal="right" vertical="center"/>
    </xf>
    <xf numFmtId="0" fontId="0" fillId="7" borderId="18" xfId="0" applyFill="1" applyBorder="1" applyAlignment="1">
      <alignment horizontal="left" vertical="center"/>
    </xf>
    <xf numFmtId="0" fontId="0" fillId="4" borderId="0" xfId="0" applyFill="1" applyAlignment="1" applyProtection="1">
      <alignment horizontal="right" vertical="center"/>
      <protection locked="0"/>
    </xf>
    <xf numFmtId="0" fontId="30" fillId="4" borderId="0" xfId="0" applyFont="1" applyFill="1">
      <alignment vertical="center"/>
    </xf>
    <xf numFmtId="49" fontId="0" fillId="2" borderId="38" xfId="0" applyNumberFormat="1" applyFill="1" applyBorder="1" applyAlignment="1">
      <alignment horizontal="center" vertical="center"/>
    </xf>
    <xf numFmtId="49" fontId="8" fillId="5" borderId="17" xfId="2" applyNumberFormat="1" applyFont="1" applyFill="1" applyBorder="1" applyAlignment="1">
      <alignment horizontal="center"/>
    </xf>
    <xf numFmtId="49" fontId="0" fillId="2" borderId="19" xfId="0" applyNumberFormat="1" applyFill="1" applyBorder="1" applyAlignment="1">
      <alignment horizontal="center" vertical="center"/>
    </xf>
    <xf numFmtId="49" fontId="0" fillId="2" borderId="34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9" borderId="21" xfId="0" applyFill="1" applyBorder="1" applyAlignment="1" applyProtection="1">
      <alignment horizontal="center" vertical="center"/>
      <protection hidden="1"/>
    </xf>
    <xf numFmtId="49" fontId="0" fillId="9" borderId="3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9" borderId="4" xfId="0" applyNumberFormat="1" applyFill="1" applyBorder="1" applyAlignment="1">
      <alignment horizontal="center" vertical="center"/>
    </xf>
    <xf numFmtId="49" fontId="35" fillId="4" borderId="0" xfId="0" applyNumberFormat="1" applyFont="1" applyFill="1">
      <alignment vertical="center"/>
    </xf>
    <xf numFmtId="0" fontId="0" fillId="10" borderId="0" xfId="0" applyFill="1">
      <alignment vertical="center"/>
    </xf>
    <xf numFmtId="176" fontId="0" fillId="0" borderId="0" xfId="0" applyNumberFormat="1">
      <alignment vertical="center"/>
    </xf>
    <xf numFmtId="176" fontId="35" fillId="10" borderId="0" xfId="0" applyNumberFormat="1" applyFont="1" applyFill="1">
      <alignment vertical="center"/>
    </xf>
    <xf numFmtId="177" fontId="0" fillId="0" borderId="0" xfId="0" applyNumberFormat="1">
      <alignment vertical="center"/>
    </xf>
    <xf numFmtId="0" fontId="0" fillId="12" borderId="0" xfId="0" applyFill="1">
      <alignment vertical="center"/>
    </xf>
    <xf numFmtId="0" fontId="7" fillId="12" borderId="0" xfId="0" applyFont="1" applyFill="1">
      <alignment vertical="center"/>
    </xf>
    <xf numFmtId="0" fontId="30" fillId="4" borderId="0" xfId="0" applyFont="1" applyFill="1" applyAlignment="1">
      <alignment horizontal="center" vertical="center" wrapText="1"/>
    </xf>
    <xf numFmtId="0" fontId="38" fillId="4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4" fontId="10" fillId="4" borderId="0" xfId="0" applyNumberFormat="1" applyFont="1" applyFill="1" applyAlignment="1">
      <alignment horizontal="left" vertical="center" wrapText="1" indent="1"/>
    </xf>
    <xf numFmtId="0" fontId="42" fillId="4" borderId="0" xfId="0" applyFont="1" applyFill="1" applyAlignment="1">
      <alignment horizontal="left" vertical="center" wrapText="1" indent="1"/>
    </xf>
    <xf numFmtId="178" fontId="0" fillId="0" borderId="0" xfId="0" applyNumberFormat="1">
      <alignment vertical="center"/>
    </xf>
    <xf numFmtId="179" fontId="0" fillId="11" borderId="15" xfId="0" applyNumberFormat="1" applyFill="1" applyBorder="1" applyProtection="1">
      <alignment vertical="center"/>
      <protection locked="0"/>
    </xf>
    <xf numFmtId="179" fontId="0" fillId="11" borderId="10" xfId="0" applyNumberFormat="1" applyFill="1" applyBorder="1" applyProtection="1">
      <alignment vertical="center"/>
      <protection locked="0"/>
    </xf>
    <xf numFmtId="179" fontId="0" fillId="11" borderId="12" xfId="0" applyNumberFormat="1" applyFill="1" applyBorder="1" applyProtection="1">
      <alignment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4" xfId="0" applyFont="1" applyBorder="1" applyAlignment="1">
      <alignment horizontal="right" vertical="center" indent="1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 indent="1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 indent="1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5" fillId="4" borderId="0" xfId="0" applyFont="1" applyFill="1">
      <alignment vertical="center"/>
    </xf>
    <xf numFmtId="0" fontId="43" fillId="4" borderId="0" xfId="0" applyFont="1" applyFill="1">
      <alignment vertical="center"/>
    </xf>
    <xf numFmtId="0" fontId="12" fillId="4" borderId="0" xfId="0" applyFont="1" applyFill="1" applyAlignment="1">
      <alignment horizontal="center" vertical="center"/>
    </xf>
    <xf numFmtId="0" fontId="28" fillId="4" borderId="0" xfId="0" applyFont="1" applyFill="1" applyAlignment="1">
      <alignment horizontal="left" vertical="top"/>
    </xf>
    <xf numFmtId="0" fontId="44" fillId="4" borderId="0" xfId="0" applyFont="1" applyFill="1">
      <alignment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9" xfId="0" applyFont="1" applyFill="1" applyBorder="1">
      <alignment vertical="center"/>
    </xf>
    <xf numFmtId="49" fontId="34" fillId="5" borderId="9" xfId="0" applyNumberFormat="1" applyFont="1" applyFill="1" applyBorder="1">
      <alignment vertical="center"/>
    </xf>
    <xf numFmtId="0" fontId="34" fillId="0" borderId="0" xfId="0" applyFont="1">
      <alignment vertical="center"/>
    </xf>
    <xf numFmtId="0" fontId="34" fillId="6" borderId="9" xfId="0" applyFont="1" applyFill="1" applyBorder="1" applyAlignment="1">
      <alignment horizontal="left"/>
    </xf>
    <xf numFmtId="0" fontId="34" fillId="2" borderId="9" xfId="0" applyFont="1" applyFill="1" applyBorder="1">
      <alignment vertical="center"/>
    </xf>
    <xf numFmtId="49" fontId="34" fillId="0" borderId="0" xfId="0" applyNumberFormat="1" applyFont="1">
      <alignment vertical="center"/>
    </xf>
    <xf numFmtId="0" fontId="34" fillId="7" borderId="39" xfId="0" applyFont="1" applyFill="1" applyBorder="1" applyAlignment="1">
      <alignment horizontal="center" vertical="center"/>
    </xf>
    <xf numFmtId="0" fontId="34" fillId="7" borderId="39" xfId="0" applyFont="1" applyFill="1" applyBorder="1" applyAlignment="1">
      <alignment horizontal="right" vertical="center"/>
    </xf>
    <xf numFmtId="0" fontId="34" fillId="7" borderId="40" xfId="0" applyFont="1" applyFill="1" applyBorder="1" applyAlignment="1">
      <alignment horizontal="center" vertical="center"/>
    </xf>
    <xf numFmtId="0" fontId="34" fillId="7" borderId="18" xfId="0" applyFont="1" applyFill="1" applyBorder="1" applyAlignment="1">
      <alignment horizontal="left" vertical="center"/>
    </xf>
    <xf numFmtId="0" fontId="34" fillId="7" borderId="18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49" fontId="34" fillId="6" borderId="0" xfId="0" applyNumberFormat="1" applyFont="1" applyFill="1">
      <alignment vertical="center"/>
    </xf>
    <xf numFmtId="0" fontId="46" fillId="4" borderId="0" xfId="0" applyFont="1" applyFill="1" applyAlignment="1">
      <alignment horizontal="right" vertical="center"/>
    </xf>
    <xf numFmtId="0" fontId="29" fillId="4" borderId="0" xfId="0" applyFont="1" applyFill="1" applyAlignment="1"/>
    <xf numFmtId="0" fontId="0" fillId="4" borderId="0" xfId="0" applyFill="1" applyAlignment="1"/>
    <xf numFmtId="0" fontId="39" fillId="10" borderId="0" xfId="0" applyFont="1" applyFill="1">
      <alignment vertical="center"/>
    </xf>
    <xf numFmtId="49" fontId="0" fillId="5" borderId="1" xfId="2" applyNumberFormat="1" applyFont="1" applyFill="1" applyBorder="1" applyAlignment="1">
      <alignment horizontal="center"/>
    </xf>
    <xf numFmtId="0" fontId="7" fillId="4" borderId="0" xfId="0" applyFont="1" applyFill="1">
      <alignment vertical="center"/>
    </xf>
    <xf numFmtId="0" fontId="0" fillId="15" borderId="9" xfId="0" applyFill="1" applyBorder="1" applyAlignment="1" applyProtection="1">
      <alignment horizontal="center" vertical="center"/>
      <protection locked="0"/>
    </xf>
    <xf numFmtId="0" fontId="8" fillId="15" borderId="9" xfId="0" applyFont="1" applyFill="1" applyBorder="1">
      <alignment vertical="center"/>
    </xf>
    <xf numFmtId="0" fontId="0" fillId="8" borderId="11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8" borderId="21" xfId="0" applyFill="1" applyBorder="1" applyAlignment="1" applyProtection="1">
      <alignment horizontal="center" vertical="center"/>
      <protection hidden="1"/>
    </xf>
    <xf numFmtId="0" fontId="0" fillId="8" borderId="9" xfId="0" applyFill="1" applyBorder="1" applyAlignment="1" applyProtection="1">
      <alignment horizontal="center" vertical="center"/>
      <protection hidden="1"/>
    </xf>
    <xf numFmtId="0" fontId="0" fillId="8" borderId="13" xfId="0" applyFill="1" applyBorder="1" applyAlignment="1" applyProtection="1">
      <alignment horizontal="center" vertical="center"/>
      <protection hidden="1"/>
    </xf>
    <xf numFmtId="14" fontId="1" fillId="0" borderId="0" xfId="3" applyNumberFormat="1">
      <alignment vertical="center"/>
    </xf>
    <xf numFmtId="0" fontId="0" fillId="8" borderId="9" xfId="0" applyFill="1" applyBorder="1">
      <alignment vertical="center"/>
    </xf>
    <xf numFmtId="0" fontId="0" fillId="8" borderId="0" xfId="0" applyFill="1">
      <alignment vertical="center"/>
    </xf>
    <xf numFmtId="0" fontId="17" fillId="0" borderId="0" xfId="3" applyFont="1">
      <alignment vertical="center"/>
    </xf>
    <xf numFmtId="0" fontId="8" fillId="0" borderId="26" xfId="0" applyFont="1" applyBorder="1">
      <alignment vertical="center"/>
    </xf>
    <xf numFmtId="0" fontId="0" fillId="5" borderId="42" xfId="0" applyFill="1" applyBorder="1" applyAlignment="1" applyProtection="1">
      <alignment horizontal="left" vertical="top" wrapText="1" shrinkToFit="1"/>
      <protection locked="0"/>
    </xf>
    <xf numFmtId="0" fontId="0" fillId="5" borderId="25" xfId="0" applyFill="1" applyBorder="1" applyAlignment="1" applyProtection="1">
      <alignment horizontal="left" vertical="top" wrapText="1" shrinkToFit="1"/>
      <protection locked="0"/>
    </xf>
    <xf numFmtId="0" fontId="0" fillId="5" borderId="43" xfId="0" applyFill="1" applyBorder="1" applyAlignment="1" applyProtection="1">
      <alignment horizontal="left" vertical="top" wrapText="1" shrinkToFit="1"/>
      <protection locked="0"/>
    </xf>
    <xf numFmtId="0" fontId="0" fillId="5" borderId="44" xfId="0" applyFill="1" applyBorder="1" applyAlignment="1" applyProtection="1">
      <alignment horizontal="left" vertical="top" wrapText="1" shrinkToFit="1"/>
      <protection locked="0"/>
    </xf>
    <xf numFmtId="0" fontId="0" fillId="5" borderId="0" xfId="0" applyFill="1" applyAlignment="1" applyProtection="1">
      <alignment horizontal="left" vertical="top" wrapText="1" shrinkToFit="1"/>
      <protection locked="0"/>
    </xf>
    <xf numFmtId="0" fontId="0" fillId="5" borderId="45" xfId="0" applyFill="1" applyBorder="1" applyAlignment="1" applyProtection="1">
      <alignment horizontal="left" vertical="top" wrapText="1" shrinkToFit="1"/>
      <protection locked="0"/>
    </xf>
    <xf numFmtId="0" fontId="0" fillId="5" borderId="34" xfId="0" applyFill="1" applyBorder="1" applyAlignment="1" applyProtection="1">
      <alignment horizontal="left" vertical="top" wrapText="1" shrinkToFit="1"/>
      <protection locked="0"/>
    </xf>
    <xf numFmtId="0" fontId="0" fillId="5" borderId="26" xfId="0" applyFill="1" applyBorder="1" applyAlignment="1" applyProtection="1">
      <alignment horizontal="left" vertical="top" wrapText="1" shrinkToFit="1"/>
      <protection locked="0"/>
    </xf>
    <xf numFmtId="0" fontId="0" fillId="5" borderId="35" xfId="0" applyFill="1" applyBorder="1" applyAlignment="1" applyProtection="1">
      <alignment horizontal="left" vertical="top" wrapText="1" shrinkToFit="1"/>
      <protection locked="0"/>
    </xf>
    <xf numFmtId="0" fontId="0" fillId="8" borderId="39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5" borderId="39" xfId="0" applyFill="1" applyBorder="1" applyAlignment="1" applyProtection="1">
      <alignment horizontal="center" vertical="center"/>
      <protection locked="0"/>
    </xf>
    <xf numFmtId="0" fontId="0" fillId="5" borderId="40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8" borderId="39" xfId="0" applyFill="1" applyBorder="1" applyAlignment="1">
      <alignment horizontal="right" vertical="center"/>
    </xf>
    <xf numFmtId="0" fontId="0" fillId="8" borderId="40" xfId="0" applyFill="1" applyBorder="1" applyAlignment="1">
      <alignment horizontal="right" vertical="center"/>
    </xf>
    <xf numFmtId="0" fontId="29" fillId="15" borderId="39" xfId="0" applyFont="1" applyFill="1" applyBorder="1" applyAlignment="1" applyProtection="1">
      <alignment horizontal="center" vertical="center"/>
      <protection locked="0"/>
    </xf>
    <xf numFmtId="0" fontId="29" fillId="15" borderId="18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0" fillId="15" borderId="39" xfId="0" applyFill="1" applyBorder="1" applyAlignment="1" applyProtection="1">
      <alignment horizontal="center" vertical="center"/>
      <protection locked="0"/>
    </xf>
    <xf numFmtId="0" fontId="0" fillId="15" borderId="40" xfId="0" applyFill="1" applyBorder="1" applyAlignment="1" applyProtection="1">
      <alignment horizontal="center" vertical="center"/>
      <protection locked="0"/>
    </xf>
    <xf numFmtId="0" fontId="0" fillId="15" borderId="18" xfId="0" applyFill="1" applyBorder="1" applyAlignment="1" applyProtection="1">
      <alignment horizontal="center" vertical="center"/>
      <protection locked="0"/>
    </xf>
    <xf numFmtId="0" fontId="0" fillId="8" borderId="40" xfId="0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0" fillId="8" borderId="40" xfId="0" applyFill="1" applyBorder="1" applyAlignment="1">
      <alignment horizontal="left" vertical="center"/>
    </xf>
    <xf numFmtId="0" fontId="0" fillId="8" borderId="18" xfId="0" applyFill="1" applyBorder="1" applyAlignment="1">
      <alignment horizontal="left" vertical="center"/>
    </xf>
    <xf numFmtId="0" fontId="0" fillId="14" borderId="44" xfId="0" applyFill="1" applyBorder="1" applyAlignment="1" applyProtection="1">
      <alignment horizontal="center" vertical="center" shrinkToFit="1"/>
      <protection locked="0"/>
    </xf>
    <xf numFmtId="0" fontId="0" fillId="14" borderId="0" xfId="0" applyFill="1" applyAlignment="1" applyProtection="1">
      <alignment horizontal="center" vertical="center" shrinkToFit="1"/>
      <protection locked="0"/>
    </xf>
    <xf numFmtId="0" fontId="41" fillId="13" borderId="0" xfId="0" applyFont="1" applyFill="1" applyAlignment="1">
      <alignment horizontal="center" vertical="center"/>
    </xf>
    <xf numFmtId="0" fontId="7" fillId="4" borderId="0" xfId="0" applyFont="1" applyFill="1" applyAlignment="1" applyProtection="1">
      <alignment horizontal="left" vertical="center" wrapText="1" indent="1" shrinkToFit="1"/>
      <protection locked="0"/>
    </xf>
    <xf numFmtId="0" fontId="0" fillId="8" borderId="39" xfId="0" applyFill="1" applyBorder="1" applyAlignment="1">
      <alignment horizontal="left" vertical="center" indent="1"/>
    </xf>
    <xf numFmtId="0" fontId="0" fillId="8" borderId="40" xfId="0" applyFill="1" applyBorder="1" applyAlignment="1">
      <alignment horizontal="left" vertical="center" indent="1"/>
    </xf>
    <xf numFmtId="0" fontId="0" fillId="8" borderId="18" xfId="0" applyFill="1" applyBorder="1" applyAlignment="1">
      <alignment horizontal="left" vertical="center" indent="1"/>
    </xf>
    <xf numFmtId="0" fontId="0" fillId="12" borderId="0" xfId="0" applyFill="1" applyAlignment="1">
      <alignment horizontal="center" vertical="center"/>
    </xf>
    <xf numFmtId="0" fontId="30" fillId="4" borderId="32" xfId="0" applyFont="1" applyFill="1" applyBorder="1" applyAlignment="1">
      <alignment horizontal="center" vertical="center" wrapText="1"/>
    </xf>
    <xf numFmtId="0" fontId="40" fillId="1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0" fillId="4" borderId="17" xfId="0" applyFont="1" applyFill="1" applyBorder="1" applyAlignment="1">
      <alignment horizontal="left" vertical="center" wrapText="1" indent="1"/>
    </xf>
    <xf numFmtId="0" fontId="10" fillId="4" borderId="27" xfId="0" applyFont="1" applyFill="1" applyBorder="1" applyAlignment="1">
      <alignment horizontal="left" vertical="center" wrapText="1" indent="1"/>
    </xf>
    <xf numFmtId="0" fontId="10" fillId="4" borderId="28" xfId="0" applyFont="1" applyFill="1" applyBorder="1" applyAlignment="1">
      <alignment horizontal="left" vertical="center" wrapText="1" indent="1"/>
    </xf>
    <xf numFmtId="0" fontId="10" fillId="4" borderId="29" xfId="0" applyFont="1" applyFill="1" applyBorder="1" applyAlignment="1">
      <alignment horizontal="left" vertical="center" wrapText="1" indent="1"/>
    </xf>
    <xf numFmtId="0" fontId="10" fillId="4" borderId="0" xfId="0" applyFont="1" applyFill="1" applyAlignment="1">
      <alignment horizontal="left" vertical="center" wrapText="1" indent="1"/>
    </xf>
    <xf numFmtId="0" fontId="10" fillId="4" borderId="30" xfId="0" applyFont="1" applyFill="1" applyBorder="1" applyAlignment="1">
      <alignment horizontal="left" vertical="center" wrapText="1" indent="1"/>
    </xf>
    <xf numFmtId="0" fontId="10" fillId="4" borderId="31" xfId="0" applyFont="1" applyFill="1" applyBorder="1" applyAlignment="1">
      <alignment horizontal="left" vertical="center" wrapText="1" indent="1"/>
    </xf>
    <xf numFmtId="0" fontId="10" fillId="4" borderId="32" xfId="0" applyFont="1" applyFill="1" applyBorder="1" applyAlignment="1">
      <alignment horizontal="left" vertical="center" wrapText="1" indent="1"/>
    </xf>
    <xf numFmtId="0" fontId="10" fillId="4" borderId="33" xfId="0" applyFont="1" applyFill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20" fillId="0" borderId="3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33" fillId="0" borderId="0" xfId="0" applyFont="1" applyAlignment="1">
      <alignment horizontal="left" vertical="top" wrapText="1" indent="1"/>
    </xf>
    <xf numFmtId="0" fontId="33" fillId="0" borderId="30" xfId="0" applyFont="1" applyBorder="1" applyAlignment="1">
      <alignment horizontal="left" vertical="top" wrapText="1" indent="1"/>
    </xf>
    <xf numFmtId="0" fontId="8" fillId="0" borderId="40" xfId="0" applyFont="1" applyBorder="1" applyAlignment="1">
      <alignment horizontal="left"/>
    </xf>
    <xf numFmtId="0" fontId="7" fillId="0" borderId="3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26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17" fillId="0" borderId="26" xfId="0" applyFont="1" applyBorder="1" applyAlignment="1">
      <alignment horizontal="center" vertical="center" shrinkToFit="1"/>
    </xf>
    <xf numFmtId="177" fontId="9" fillId="0" borderId="0" xfId="3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indent="1"/>
    </xf>
    <xf numFmtId="0" fontId="14" fillId="0" borderId="4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5" xfId="0" applyFont="1" applyBorder="1" applyAlignment="1">
      <alignment horizontal="center" vertical="center"/>
    </xf>
  </cellXfs>
  <cellStyles count="86">
    <cellStyle name="ハイパーリンク" xfId="1" builtinId="8"/>
    <cellStyle name="標準" xfId="0" builtinId="0"/>
    <cellStyle name="標準_Sheet1" xfId="2" xr:uid="{00000000-0005-0000-0000-000002000000}"/>
    <cellStyle name="標準_個人種目エントリー" xfId="3" xr:uid="{00000000-0005-0000-0000-000003000000}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6" builtinId="9" hidden="1"/>
    <cellStyle name="表示済みのハイパーリンク" xfId="37" builtinId="9" hidden="1"/>
    <cellStyle name="表示済みのハイパーリンク" xfId="38" builtinId="9" hidden="1"/>
    <cellStyle name="表示済みのハイパーリンク" xfId="39" builtinId="9" hidden="1"/>
    <cellStyle name="表示済みのハイパーリンク" xfId="40" builtinId="9" hidden="1"/>
    <cellStyle name="表示済みのハイパーリンク" xfId="41" builtinId="9" hidden="1"/>
    <cellStyle name="表示済みのハイパーリンク" xfId="42" builtinId="9" hidden="1"/>
    <cellStyle name="表示済みのハイパーリンク" xfId="43" builtinId="9" hidden="1"/>
    <cellStyle name="表示済みのハイパーリンク" xfId="44" builtinId="9" hidden="1"/>
    <cellStyle name="表示済みのハイパーリンク" xfId="45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8" builtinId="9" hidden="1"/>
    <cellStyle name="表示済みのハイパーリンク" xfId="49" builtinId="9" hidden="1"/>
    <cellStyle name="表示済みのハイパーリンク" xfId="50" builtinId="9" hidden="1"/>
    <cellStyle name="表示済みのハイパーリンク" xfId="51" builtinId="9" hidden="1"/>
    <cellStyle name="表示済みのハイパーリンク" xfId="52" builtinId="9" hidden="1"/>
    <cellStyle name="表示済みのハイパーリンク" xfId="53" builtinId="9" hidden="1"/>
    <cellStyle name="表示済みのハイパーリンク" xfId="54" builtinId="9" hidden="1"/>
    <cellStyle name="表示済みのハイパーリンク" xfId="55" builtinId="9" hidden="1"/>
    <cellStyle name="表示済みのハイパーリンク" xfId="56" builtinId="9" hidden="1"/>
    <cellStyle name="表示済みのハイパーリンク" xfId="57" builtinId="9" hidden="1"/>
    <cellStyle name="表示済みのハイパーリンク" xfId="58" builtinId="9" hidden="1"/>
    <cellStyle name="表示済みのハイパーリンク" xfId="59" builtinId="9" hidden="1"/>
    <cellStyle name="表示済みのハイパーリンク" xfId="60" builtinId="9" hidden="1"/>
    <cellStyle name="表示済みのハイパーリンク" xfId="61" builtinId="9" hidden="1"/>
    <cellStyle name="表示済みのハイパーリンク" xfId="62" builtinId="9" hidden="1"/>
    <cellStyle name="表示済みのハイパーリンク" xfId="63" builtinId="9" hidden="1"/>
    <cellStyle name="表示済みのハイパーリンク" xfId="64" builtinId="9" hidden="1"/>
    <cellStyle name="表示済みのハイパーリンク" xfId="65" builtinId="9" hidden="1"/>
    <cellStyle name="表示済みのハイパーリンク" xfId="66" builtinId="9" hidden="1"/>
    <cellStyle name="表示済みのハイパーリンク" xfId="67" builtinId="9" hidden="1"/>
    <cellStyle name="表示済みのハイパーリンク" xfId="68" builtinId="9" hidden="1"/>
    <cellStyle name="表示済みのハイパーリンク" xfId="69" builtinId="9" hidden="1"/>
    <cellStyle name="表示済みのハイパーリンク" xfId="70" builtinId="9" hidden="1"/>
    <cellStyle name="表示済みのハイパーリンク" xfId="71" builtinId="9" hidden="1"/>
    <cellStyle name="表示済みのハイパーリンク" xfId="72" builtinId="9" hidden="1"/>
    <cellStyle name="表示済みのハイパーリンク" xfId="73" builtinId="9" hidden="1"/>
    <cellStyle name="表示済みのハイパーリンク" xfId="74" builtinId="9" hidden="1"/>
    <cellStyle name="表示済みのハイパーリンク" xfId="75" builtinId="9" hidden="1"/>
    <cellStyle name="表示済みのハイパーリンク" xfId="76" builtinId="9" hidden="1"/>
    <cellStyle name="表示済みのハイパーリンク" xfId="77" builtinId="9" hidden="1"/>
    <cellStyle name="表示済みのハイパーリンク" xfId="78" builtinId="9" hidden="1"/>
    <cellStyle name="表示済みのハイパーリンク" xfId="79" builtinId="9" hidden="1"/>
    <cellStyle name="表示済みのハイパーリンク" xfId="80" builtinId="9" hidden="1"/>
    <cellStyle name="表示済みのハイパーリンク" xfId="81" builtinId="9" hidden="1"/>
    <cellStyle name="表示済みのハイパーリンク" xfId="82" builtinId="9" hidden="1"/>
    <cellStyle name="表示済みのハイパーリンク" xfId="83" builtinId="9" hidden="1"/>
    <cellStyle name="表示済みのハイパーリンク" xfId="84" builtinId="9" hidden="1"/>
    <cellStyle name="表示済みのハイパーリンク" xfId="85" builtinId="9" hidde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701040</xdr:colOff>
      <xdr:row>2</xdr:row>
      <xdr:rowOff>76200</xdr:rowOff>
    </xdr:from>
    <xdr:to>
      <xdr:col>13</xdr:col>
      <xdr:colOff>190500</xdr:colOff>
      <xdr:row>4</xdr:row>
      <xdr:rowOff>60960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CBBF88-E612-4992-845B-0C685DF7E2B1}"/>
            </a:ext>
          </a:extLst>
        </xdr:cNvPr>
        <xdr:cNvSpPr txBox="1"/>
      </xdr:nvSpPr>
      <xdr:spPr>
        <a:xfrm>
          <a:off x="8488680" y="510540"/>
          <a:ext cx="35814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+mj-ea"/>
              <a:ea typeface="+mj-ea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30"/>
  <sheetViews>
    <sheetView tabSelected="1" workbookViewId="0">
      <selection activeCell="S8" sqref="S8"/>
    </sheetView>
  </sheetViews>
  <sheetFormatPr defaultColWidth="8.75" defaultRowHeight="13.5"/>
  <cols>
    <col min="1" max="1" width="2.375" customWidth="1"/>
    <col min="2" max="2" width="6.5" customWidth="1"/>
    <col min="3" max="3" width="13.125" customWidth="1"/>
    <col min="4" max="4" width="7.625" customWidth="1"/>
    <col min="5" max="5" width="4.125" customWidth="1"/>
    <col min="6" max="6" width="6.375" customWidth="1"/>
    <col min="7" max="7" width="5.5" bestFit="1" customWidth="1"/>
    <col min="8" max="8" width="6.375" customWidth="1"/>
    <col min="9" max="9" width="5.125" bestFit="1" customWidth="1"/>
    <col min="10" max="10" width="6.375" customWidth="1"/>
    <col min="11" max="11" width="5.125" bestFit="1" customWidth="1"/>
    <col min="12" max="12" width="6.375" customWidth="1"/>
    <col min="13" max="13" width="13" bestFit="1" customWidth="1"/>
    <col min="14" max="15" width="4.375" customWidth="1"/>
    <col min="16" max="16" width="2.625" customWidth="1"/>
    <col min="17" max="17" width="4.375" customWidth="1"/>
    <col min="18" max="18" width="2.625" customWidth="1"/>
    <col min="19" max="19" width="4.375" customWidth="1"/>
    <col min="20" max="20" width="2.625" customWidth="1"/>
    <col min="22" max="22" width="14.5" bestFit="1" customWidth="1"/>
    <col min="23" max="23" width="3" customWidth="1"/>
    <col min="25" max="25" width="14.5" bestFit="1" customWidth="1"/>
    <col min="26" max="26" width="15.375" bestFit="1" customWidth="1"/>
    <col min="27" max="27" width="9" bestFit="1" customWidth="1"/>
  </cols>
  <sheetData>
    <row r="1" spans="1:26" ht="8.25" customHeight="1" thickBo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6">
      <c r="A2" s="52"/>
      <c r="B2" s="243" t="s">
        <v>43</v>
      </c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52"/>
      <c r="N2" s="52"/>
      <c r="O2" s="52"/>
      <c r="P2" s="258" t="s">
        <v>281</v>
      </c>
      <c r="Q2" s="258"/>
      <c r="R2" s="258"/>
      <c r="S2" s="258"/>
      <c r="T2" s="258"/>
      <c r="U2" s="258"/>
      <c r="V2" s="258"/>
      <c r="W2" s="258"/>
      <c r="X2" s="52"/>
    </row>
    <row r="3" spans="1:26" ht="14.25" thickBot="1">
      <c r="A3" s="52"/>
      <c r="B3" s="246"/>
      <c r="C3" s="247"/>
      <c r="D3" s="247"/>
      <c r="E3" s="247"/>
      <c r="F3" s="247"/>
      <c r="G3" s="247"/>
      <c r="H3" s="247"/>
      <c r="I3" s="247"/>
      <c r="J3" s="247"/>
      <c r="K3" s="247"/>
      <c r="L3" s="248"/>
      <c r="M3" s="52"/>
      <c r="N3" s="52"/>
      <c r="O3" s="52"/>
      <c r="P3" s="258"/>
      <c r="Q3" s="258"/>
      <c r="R3" s="258"/>
      <c r="S3" s="258"/>
      <c r="T3" s="258"/>
      <c r="U3" s="258"/>
      <c r="V3" s="258"/>
      <c r="W3" s="258"/>
      <c r="X3" s="52"/>
    </row>
    <row r="4" spans="1:26" ht="14.25" thickBot="1">
      <c r="A4" s="52"/>
      <c r="B4" s="82"/>
      <c r="C4" s="53" t="s">
        <v>271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68"/>
      <c r="Q4" s="68"/>
      <c r="R4" s="52"/>
      <c r="S4" s="52"/>
      <c r="T4" s="52"/>
      <c r="U4" s="52"/>
      <c r="V4" s="52"/>
      <c r="W4" s="52"/>
      <c r="X4" s="52"/>
    </row>
    <row r="5" spans="1:26" ht="9" customHeight="1">
      <c r="A5" s="52"/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5"/>
      <c r="Q5" s="85"/>
      <c r="R5" s="82"/>
      <c r="S5" s="82"/>
      <c r="T5" s="82"/>
      <c r="U5" s="82"/>
      <c r="V5" s="82"/>
      <c r="W5" s="86"/>
      <c r="X5" s="52"/>
    </row>
    <row r="6" spans="1:26">
      <c r="A6" s="52"/>
      <c r="B6" s="87"/>
      <c r="C6" s="53" t="s">
        <v>499</v>
      </c>
      <c r="D6" s="69"/>
      <c r="E6" s="53" t="s">
        <v>497</v>
      </c>
      <c r="F6" s="53"/>
      <c r="G6" s="53"/>
      <c r="H6" s="212"/>
      <c r="I6" s="53" t="s">
        <v>498</v>
      </c>
      <c r="J6" s="53"/>
      <c r="K6" s="53"/>
      <c r="L6" s="53"/>
      <c r="M6" s="53"/>
      <c r="N6" s="53"/>
      <c r="O6" s="53"/>
      <c r="P6" s="68"/>
      <c r="Q6" s="68"/>
      <c r="R6" s="52"/>
      <c r="S6" s="52"/>
      <c r="T6" s="52"/>
      <c r="U6" s="52"/>
      <c r="V6" s="149"/>
      <c r="W6" s="88"/>
      <c r="X6" s="52"/>
    </row>
    <row r="7" spans="1:26" ht="9" customHeight="1">
      <c r="A7" s="52"/>
      <c r="B7" s="87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88"/>
      <c r="X7" s="52"/>
    </row>
    <row r="8" spans="1:26">
      <c r="A8" s="52"/>
      <c r="B8" s="87"/>
      <c r="C8" s="52" t="s">
        <v>35</v>
      </c>
      <c r="D8" s="89" t="s">
        <v>493</v>
      </c>
      <c r="E8" s="222">
        <f ca="1">IF((YEAR(TODAY())-2018)=1,"元",(YEAR(TODAY())-2018))</f>
        <v>6</v>
      </c>
      <c r="F8" s="52" t="s">
        <v>45</v>
      </c>
      <c r="G8" s="190" t="str">
        <f ca="1">IF(H10="総合","第"&amp;YEAR(TODAY())-2006&amp;"回","")</f>
        <v>第18回</v>
      </c>
      <c r="H8" s="52"/>
      <c r="I8" s="52"/>
      <c r="J8" s="52"/>
      <c r="K8" s="52"/>
      <c r="L8" s="253" t="s">
        <v>48</v>
      </c>
      <c r="M8" s="253"/>
      <c r="N8" s="52" t="s">
        <v>493</v>
      </c>
      <c r="O8" s="222">
        <f ca="1">IF((YEAR(TODAY())-2018)=1,"元",(YEAR(TODAY())-2018))</f>
        <v>6</v>
      </c>
      <c r="P8" s="52" t="s">
        <v>50</v>
      </c>
      <c r="Q8" s="221">
        <f ca="1">MONTH(TODAY())</f>
        <v>5</v>
      </c>
      <c r="R8" s="52" t="s">
        <v>49</v>
      </c>
      <c r="S8" s="221">
        <f ca="1">DAY(TODAY())</f>
        <v>29</v>
      </c>
      <c r="T8" s="52" t="s">
        <v>51</v>
      </c>
      <c r="U8" s="52"/>
      <c r="V8" s="151"/>
      <c r="W8" s="88"/>
      <c r="X8" s="52"/>
      <c r="Y8" s="152"/>
      <c r="Z8" s="150"/>
    </row>
    <row r="9" spans="1:26" ht="9" customHeight="1">
      <c r="A9" s="52"/>
      <c r="B9" s="87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88"/>
      <c r="X9" s="52"/>
    </row>
    <row r="10" spans="1:26">
      <c r="A10" s="52"/>
      <c r="B10" s="87"/>
      <c r="C10" s="42" t="s">
        <v>36</v>
      </c>
      <c r="D10" s="239" t="str">
        <f ca="1">G8&amp;"備南東地区中学校"</f>
        <v>第18回備南東地区中学校</v>
      </c>
      <c r="E10" s="240"/>
      <c r="F10" s="240"/>
      <c r="G10" s="240"/>
      <c r="H10" s="250" t="s">
        <v>368</v>
      </c>
      <c r="I10" s="250"/>
      <c r="J10" s="254" t="s">
        <v>367</v>
      </c>
      <c r="K10" s="254"/>
      <c r="L10" s="255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88"/>
      <c r="X10" s="52"/>
    </row>
    <row r="11" spans="1:26">
      <c r="A11" s="52"/>
      <c r="B11" s="87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42" t="s">
        <v>111</v>
      </c>
      <c r="N11" s="234" t="str">
        <f>IF(D13="","",INDEX(中学住所!E3:J35,MATCH(D13,中学住所!E3:E35,0),4))</f>
        <v/>
      </c>
      <c r="O11" s="235"/>
      <c r="P11" s="52"/>
      <c r="Q11" s="52"/>
      <c r="R11" s="52"/>
      <c r="S11" s="52"/>
      <c r="T11" s="52"/>
      <c r="U11" s="52"/>
      <c r="V11" s="52"/>
      <c r="W11" s="88"/>
      <c r="X11" s="52"/>
    </row>
    <row r="12" spans="1:26">
      <c r="A12" s="52"/>
      <c r="B12" s="87"/>
      <c r="C12" s="42" t="s">
        <v>97</v>
      </c>
      <c r="D12" s="234" t="str">
        <f>IF(D13="","",INDEX(中学住所!E3:J35,MATCH(D13,中学住所!E3:E35,0),2))</f>
        <v/>
      </c>
      <c r="E12" s="252"/>
      <c r="F12" s="235"/>
      <c r="G12" s="129"/>
      <c r="H12" s="129"/>
      <c r="I12" s="129"/>
      <c r="J12" s="129"/>
      <c r="K12" s="52"/>
      <c r="L12" s="52"/>
      <c r="M12" s="42" t="s">
        <v>65</v>
      </c>
      <c r="N12" s="260" t="str">
        <f>IF(D13="","",INDEX(中学住所!E3:J35,MATCH(D13,中学住所!E3:E35,0),5))</f>
        <v/>
      </c>
      <c r="O12" s="261"/>
      <c r="P12" s="261"/>
      <c r="Q12" s="261"/>
      <c r="R12" s="261"/>
      <c r="S12" s="261"/>
      <c r="T12" s="261"/>
      <c r="U12" s="261"/>
      <c r="V12" s="262"/>
      <c r="W12" s="88"/>
      <c r="X12" s="52"/>
    </row>
    <row r="13" spans="1:26">
      <c r="A13" s="52"/>
      <c r="B13" s="87"/>
      <c r="C13" s="42" t="s">
        <v>32</v>
      </c>
      <c r="D13" s="249"/>
      <c r="E13" s="250"/>
      <c r="F13" s="251"/>
      <c r="G13" s="52" t="s">
        <v>46</v>
      </c>
      <c r="H13" s="129"/>
      <c r="I13" s="129"/>
      <c r="J13" s="129"/>
      <c r="K13" s="52"/>
      <c r="L13" s="52"/>
      <c r="M13" s="42" t="s">
        <v>66</v>
      </c>
      <c r="N13" s="260" t="str">
        <f>IF(D13="","",INDEX(中学住所!E3:J35,MATCH(①基本データ入力!D13,中学住所!E3:E35,0),6))</f>
        <v/>
      </c>
      <c r="O13" s="261"/>
      <c r="P13" s="261"/>
      <c r="Q13" s="261"/>
      <c r="R13" s="261"/>
      <c r="S13" s="261"/>
      <c r="T13" s="262"/>
      <c r="U13" s="186" t="str">
        <f>IF(D13="","",INDEX(中学住所!E3:L35,MATCH(①基本データ入力!D13,中学住所!E3:E35,0),7))</f>
        <v/>
      </c>
      <c r="V13" s="187" t="str">
        <f>IF(D13="","",INDEX(中学住所!E3:L35,MATCH(①基本データ入力!D13,中学住所!E3:E35,0),8))</f>
        <v/>
      </c>
      <c r="W13" s="88"/>
      <c r="X13" s="52"/>
    </row>
    <row r="14" spans="1:26">
      <c r="A14" s="52"/>
      <c r="B14" s="87"/>
      <c r="C14" s="52"/>
      <c r="D14" s="117"/>
      <c r="E14" s="52"/>
      <c r="F14" s="205" t="s">
        <v>5</v>
      </c>
      <c r="G14" s="118"/>
      <c r="H14" s="118"/>
      <c r="I14" s="118"/>
      <c r="J14" s="118"/>
      <c r="K14" s="52"/>
      <c r="L14" s="52"/>
      <c r="M14" s="42"/>
      <c r="N14" s="259" t="s">
        <v>272</v>
      </c>
      <c r="O14" s="259"/>
      <c r="P14" s="259"/>
      <c r="Q14" s="259"/>
      <c r="R14" s="259"/>
      <c r="S14" s="259"/>
      <c r="T14" s="259"/>
      <c r="U14" s="259"/>
      <c r="V14" s="259"/>
      <c r="W14" s="88"/>
      <c r="X14" s="52"/>
    </row>
    <row r="15" spans="1:26" ht="9" customHeight="1">
      <c r="A15" s="52"/>
      <c r="B15" s="87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259"/>
      <c r="O15" s="259"/>
      <c r="P15" s="259"/>
      <c r="Q15" s="259"/>
      <c r="R15" s="259"/>
      <c r="S15" s="259"/>
      <c r="T15" s="259"/>
      <c r="U15" s="259"/>
      <c r="V15" s="259"/>
      <c r="W15" s="88"/>
      <c r="X15" s="52"/>
    </row>
    <row r="16" spans="1:26" ht="13.5" customHeight="1">
      <c r="A16" s="52"/>
      <c r="B16" s="87"/>
      <c r="C16" s="42" t="s">
        <v>33</v>
      </c>
      <c r="D16" s="236"/>
      <c r="E16" s="237"/>
      <c r="F16" s="238"/>
      <c r="G16" s="129"/>
      <c r="H16" s="129"/>
      <c r="I16" s="129"/>
      <c r="J16" s="129"/>
      <c r="K16" s="52"/>
      <c r="L16" s="55"/>
      <c r="M16" s="80"/>
      <c r="N16" s="259"/>
      <c r="O16" s="259"/>
      <c r="P16" s="259"/>
      <c r="Q16" s="259"/>
      <c r="R16" s="259"/>
      <c r="S16" s="259"/>
      <c r="T16" s="259"/>
      <c r="U16" s="259"/>
      <c r="V16" s="259"/>
      <c r="W16" s="88"/>
      <c r="X16" s="52"/>
    </row>
    <row r="17" spans="1:24" ht="16.149999999999999" customHeight="1">
      <c r="A17" s="52"/>
      <c r="B17" s="87"/>
      <c r="C17" s="52"/>
      <c r="D17" s="52"/>
      <c r="E17" s="52"/>
      <c r="F17" s="52"/>
      <c r="G17" s="52"/>
      <c r="H17" s="52"/>
      <c r="I17" s="52"/>
      <c r="J17" s="210" t="s">
        <v>495</v>
      </c>
      <c r="K17" s="52"/>
      <c r="L17" s="52"/>
      <c r="M17" s="81"/>
      <c r="N17" s="120"/>
      <c r="O17" s="120"/>
      <c r="P17" s="120"/>
      <c r="Q17" s="120"/>
      <c r="R17" s="120"/>
      <c r="S17" s="120"/>
      <c r="T17" s="120"/>
      <c r="U17" s="120"/>
      <c r="V17" s="120"/>
      <c r="W17" s="88"/>
      <c r="X17" s="52"/>
    </row>
    <row r="18" spans="1:24">
      <c r="A18" s="52"/>
      <c r="B18" s="87"/>
      <c r="C18" s="42" t="s">
        <v>344</v>
      </c>
      <c r="D18" s="236"/>
      <c r="E18" s="237"/>
      <c r="F18" s="238"/>
      <c r="G18" s="129"/>
      <c r="H18" s="129"/>
      <c r="I18" s="129"/>
      <c r="J18" s="129" t="s">
        <v>474</v>
      </c>
      <c r="K18" s="52"/>
      <c r="L18" s="256"/>
      <c r="M18" s="257"/>
      <c r="N18" s="257"/>
      <c r="O18" s="257"/>
      <c r="P18" s="257"/>
      <c r="Q18" s="257"/>
      <c r="R18" s="257"/>
      <c r="S18" s="257"/>
      <c r="T18" s="52"/>
      <c r="U18" s="52"/>
      <c r="V18" s="52"/>
      <c r="W18" s="88"/>
      <c r="X18" s="52"/>
    </row>
    <row r="19" spans="1:24">
      <c r="A19" s="52"/>
      <c r="B19" s="87"/>
      <c r="C19" s="42"/>
      <c r="D19" s="129"/>
      <c r="E19" s="129"/>
      <c r="F19" s="129"/>
      <c r="G19" s="129"/>
      <c r="H19" s="129"/>
      <c r="I19" s="129"/>
      <c r="J19" s="189"/>
      <c r="K19" s="189" t="s">
        <v>492</v>
      </c>
      <c r="L19" s="129"/>
      <c r="M19" s="129"/>
      <c r="N19" s="189"/>
      <c r="O19" s="81"/>
      <c r="P19" s="81"/>
      <c r="Q19" s="52"/>
      <c r="R19" s="52"/>
      <c r="S19" s="52"/>
      <c r="T19" s="52"/>
      <c r="U19" s="52"/>
      <c r="V19" s="52"/>
      <c r="W19" s="88"/>
      <c r="X19" s="52"/>
    </row>
    <row r="20" spans="1:24" ht="31.15" customHeight="1">
      <c r="A20" s="52"/>
      <c r="B20" s="87"/>
      <c r="C20" s="52"/>
      <c r="D20" s="52"/>
      <c r="E20" s="52"/>
      <c r="F20" s="52"/>
      <c r="G20" s="52"/>
      <c r="H20" s="52"/>
      <c r="I20" s="52"/>
      <c r="J20" s="52"/>
      <c r="K20" s="52"/>
      <c r="L20" s="206" t="s">
        <v>112</v>
      </c>
      <c r="M20" s="81"/>
      <c r="N20" s="81"/>
      <c r="O20" s="81"/>
      <c r="P20" s="81"/>
      <c r="Q20" s="207" t="s">
        <v>113</v>
      </c>
      <c r="R20" s="52"/>
      <c r="S20" s="52"/>
      <c r="T20" s="52"/>
      <c r="U20" s="52"/>
      <c r="V20" s="52"/>
      <c r="W20" s="88"/>
      <c r="X20" s="52"/>
    </row>
    <row r="21" spans="1:24">
      <c r="A21" s="52"/>
      <c r="B21" s="87"/>
      <c r="C21" s="42" t="s">
        <v>500</v>
      </c>
      <c r="D21" s="236"/>
      <c r="E21" s="237"/>
      <c r="F21" s="238"/>
      <c r="G21" s="136" t="s">
        <v>47</v>
      </c>
      <c r="H21" s="130"/>
      <c r="I21" s="136" t="s">
        <v>31</v>
      </c>
      <c r="J21" s="211"/>
      <c r="K21" s="52" t="s">
        <v>496</v>
      </c>
      <c r="L21" s="241"/>
      <c r="M21" s="242"/>
      <c r="N21" s="81"/>
      <c r="O21" s="81"/>
      <c r="P21" s="81"/>
      <c r="Q21" s="225"/>
      <c r="R21" s="226"/>
      <c r="S21" s="226"/>
      <c r="T21" s="226"/>
      <c r="U21" s="226"/>
      <c r="V21" s="227"/>
      <c r="W21" s="88"/>
      <c r="X21" s="52"/>
    </row>
    <row r="22" spans="1:24" ht="9" customHeight="1">
      <c r="A22" s="52"/>
      <c r="B22" s="87"/>
      <c r="C22" s="52"/>
      <c r="D22" s="52"/>
      <c r="E22" s="52"/>
      <c r="F22" s="52"/>
      <c r="G22" s="52"/>
      <c r="H22" s="52"/>
      <c r="I22" s="52"/>
      <c r="J22" s="42"/>
      <c r="K22" s="52"/>
      <c r="L22" s="90"/>
      <c r="M22" s="90"/>
      <c r="N22" s="90"/>
      <c r="O22" s="90"/>
      <c r="P22" s="90"/>
      <c r="Q22" s="228"/>
      <c r="R22" s="229"/>
      <c r="S22" s="229"/>
      <c r="T22" s="229"/>
      <c r="U22" s="229"/>
      <c r="V22" s="230"/>
      <c r="W22" s="88"/>
      <c r="X22" s="52"/>
    </row>
    <row r="23" spans="1:24">
      <c r="A23" s="52"/>
      <c r="B23" s="87"/>
      <c r="C23" s="42" t="s">
        <v>501</v>
      </c>
      <c r="D23" s="236"/>
      <c r="E23" s="237"/>
      <c r="F23" s="238"/>
      <c r="G23" s="136" t="s">
        <v>47</v>
      </c>
      <c r="H23" s="130"/>
      <c r="I23" s="136" t="s">
        <v>31</v>
      </c>
      <c r="J23" s="211"/>
      <c r="K23" s="52" t="s">
        <v>496</v>
      </c>
      <c r="L23" s="241"/>
      <c r="M23" s="242"/>
      <c r="N23" s="91"/>
      <c r="O23" s="91"/>
      <c r="P23" s="91"/>
      <c r="Q23" s="231"/>
      <c r="R23" s="232"/>
      <c r="S23" s="232"/>
      <c r="T23" s="232"/>
      <c r="U23" s="232"/>
      <c r="V23" s="233"/>
      <c r="W23" s="88"/>
      <c r="X23" s="52"/>
    </row>
    <row r="24" spans="1:24" ht="9" customHeight="1" thickBot="1">
      <c r="A24" s="52"/>
      <c r="B24" s="92"/>
      <c r="C24" s="93"/>
      <c r="D24" s="93"/>
      <c r="E24" s="93"/>
      <c r="F24" s="93"/>
      <c r="G24" s="93"/>
      <c r="H24" s="93"/>
      <c r="I24" s="93"/>
      <c r="J24" s="93"/>
      <c r="K24" s="93"/>
      <c r="L24" s="94"/>
      <c r="M24" s="94"/>
      <c r="N24" s="94"/>
      <c r="O24" s="94"/>
      <c r="P24" s="94"/>
      <c r="Q24" s="93"/>
      <c r="R24" s="93"/>
      <c r="S24" s="93"/>
      <c r="T24" s="93"/>
      <c r="U24" s="93"/>
      <c r="V24" s="93"/>
      <c r="W24" s="95"/>
      <c r="X24" s="52"/>
    </row>
    <row r="25" spans="1:24" ht="9" customHeight="1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90"/>
      <c r="M25" s="90"/>
      <c r="N25" s="90"/>
      <c r="O25" s="90"/>
      <c r="P25" s="90"/>
      <c r="Q25" s="52"/>
      <c r="R25" s="52"/>
      <c r="S25" s="52"/>
      <c r="T25" s="52"/>
      <c r="U25" s="52"/>
      <c r="V25" s="52"/>
      <c r="W25" s="52"/>
      <c r="X25" s="52"/>
    </row>
    <row r="26" spans="1:24" ht="6.75" customHeight="1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1:24" ht="17.25">
      <c r="A27" s="52"/>
      <c r="B27" s="52"/>
      <c r="C27" s="137" t="s">
        <v>283</v>
      </c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68"/>
      <c r="T27" s="68"/>
      <c r="U27" s="68"/>
      <c r="V27" s="68"/>
      <c r="W27" s="68"/>
      <c r="X27" s="52"/>
    </row>
    <row r="28" spans="1:24">
      <c r="A28" s="52"/>
      <c r="B28" s="52"/>
      <c r="C28" s="77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68"/>
      <c r="T28" s="68"/>
      <c r="U28" s="68"/>
      <c r="V28" s="68"/>
      <c r="W28" s="68"/>
      <c r="X28" s="52"/>
    </row>
    <row r="29" spans="1:24" ht="21">
      <c r="A29" s="52"/>
      <c r="B29" s="52"/>
      <c r="C29" s="77"/>
      <c r="D29" s="74"/>
      <c r="E29" s="75"/>
      <c r="F29" s="76"/>
      <c r="G29" s="76"/>
      <c r="H29" s="76"/>
      <c r="I29" s="76"/>
      <c r="J29" s="76"/>
      <c r="K29" s="75"/>
      <c r="L29" s="76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52"/>
    </row>
    <row r="30" spans="1:24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</sheetData>
  <sheetProtection sheet="1" objects="1" scenarios="1"/>
  <mergeCells count="20">
    <mergeCell ref="B2:L3"/>
    <mergeCell ref="D13:F13"/>
    <mergeCell ref="D16:F16"/>
    <mergeCell ref="D12:F12"/>
    <mergeCell ref="D18:F18"/>
    <mergeCell ref="L8:M8"/>
    <mergeCell ref="J10:L10"/>
    <mergeCell ref="H10:I10"/>
    <mergeCell ref="L18:S18"/>
    <mergeCell ref="P2:W3"/>
    <mergeCell ref="N14:V16"/>
    <mergeCell ref="N12:V12"/>
    <mergeCell ref="N13:T13"/>
    <mergeCell ref="Q21:V23"/>
    <mergeCell ref="N11:O11"/>
    <mergeCell ref="D21:F21"/>
    <mergeCell ref="D10:G10"/>
    <mergeCell ref="L23:M23"/>
    <mergeCell ref="L21:M21"/>
    <mergeCell ref="D23:F23"/>
  </mergeCells>
  <phoneticPr fontId="4"/>
  <dataValidations count="6">
    <dataValidation type="list" showErrorMessage="1" sqref="H13" xr:uid="{00000000-0002-0000-0000-000000000000}">
      <formula1>県内中学校</formula1>
    </dataValidation>
    <dataValidation type="list" allowBlank="1" showInputMessage="1" showErrorMessage="1" sqref="J21 J23" xr:uid="{00000000-0002-0000-0000-000001000000}">
      <formula1>"男,女"</formula1>
    </dataValidation>
    <dataValidation type="list" allowBlank="1" showInputMessage="1" showErrorMessage="1" sqref="L23:M23 L21:M21" xr:uid="{00000000-0002-0000-0000-000002000000}">
      <formula1>役員</formula1>
    </dataValidation>
    <dataValidation showDropDown="1" showErrorMessage="1" sqref="H13:J13" xr:uid="{00000000-0002-0000-0000-000003000000}"/>
    <dataValidation type="list" allowBlank="1" showErrorMessage="1" sqref="D13:F13" xr:uid="{00000000-0002-0000-0000-000004000000}">
      <formula1>県内中学校</formula1>
    </dataValidation>
    <dataValidation type="list" allowBlank="1" showInputMessage="1" showErrorMessage="1" sqref="H10:I10" xr:uid="{00000000-0002-0000-0000-000005000000}">
      <formula1>"総合,新人"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r:id="rId1"/>
  <ignoredErrors>
    <ignoredError sqref="O13:T13 O11:V11 O12:V12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U42"/>
  <sheetViews>
    <sheetView workbookViewId="0">
      <selection activeCell="L21" sqref="L21"/>
    </sheetView>
  </sheetViews>
  <sheetFormatPr defaultColWidth="8.75" defaultRowHeight="13.5"/>
  <cols>
    <col min="2" max="2" width="8" customWidth="1"/>
    <col min="3" max="3" width="2.125" customWidth="1"/>
    <col min="4" max="4" width="3.125" style="1" customWidth="1"/>
    <col min="5" max="5" width="14" customWidth="1"/>
    <col min="6" max="6" width="8" customWidth="1"/>
    <col min="7" max="7" width="19.375" style="3" bestFit="1" customWidth="1"/>
    <col min="8" max="8" width="8.125" style="3" customWidth="1"/>
    <col min="9" max="9" width="32.5" style="115" customWidth="1"/>
    <col min="10" max="10" width="12.625" style="3" bestFit="1" customWidth="1"/>
    <col min="11" max="13" width="12.625" style="3" customWidth="1"/>
    <col min="14" max="14" width="9.5" style="3" bestFit="1" customWidth="1"/>
    <col min="15" max="15" width="12.125" style="128" bestFit="1" customWidth="1"/>
    <col min="16" max="16" width="12.125" bestFit="1" customWidth="1"/>
    <col min="18" max="19" width="12.125" bestFit="1" customWidth="1"/>
  </cols>
  <sheetData>
    <row r="1" spans="1:21" ht="21.75" customHeight="1">
      <c r="B1" s="8" t="s">
        <v>121</v>
      </c>
      <c r="C1" s="6"/>
      <c r="D1" s="6"/>
      <c r="E1" s="6"/>
      <c r="F1" s="6"/>
      <c r="G1" s="116"/>
      <c r="H1" s="116"/>
      <c r="I1" s="116"/>
      <c r="J1" s="116"/>
      <c r="K1" s="116"/>
      <c r="L1" s="116"/>
      <c r="M1" s="116"/>
      <c r="N1" s="116"/>
    </row>
    <row r="2" spans="1:21" ht="12" customHeight="1">
      <c r="B2" s="8"/>
      <c r="C2" s="6"/>
      <c r="D2" s="6"/>
      <c r="E2" s="6" t="s">
        <v>422</v>
      </c>
      <c r="F2" t="s">
        <v>423</v>
      </c>
      <c r="G2" t="s">
        <v>424</v>
      </c>
      <c r="H2" s="6" t="s">
        <v>425</v>
      </c>
      <c r="I2" s="6" t="s">
        <v>426</v>
      </c>
      <c r="J2" s="6" t="s">
        <v>427</v>
      </c>
      <c r="K2" s="6" t="s">
        <v>428</v>
      </c>
      <c r="L2" s="6" t="s">
        <v>429</v>
      </c>
      <c r="M2"/>
      <c r="N2"/>
      <c r="O2" t="s">
        <v>356</v>
      </c>
      <c r="R2" t="s">
        <v>359</v>
      </c>
    </row>
    <row r="3" spans="1:21">
      <c r="A3" t="str">
        <f>E3</f>
        <v>早島</v>
      </c>
      <c r="B3" s="3" t="s">
        <v>142</v>
      </c>
      <c r="C3" s="3" t="s">
        <v>352</v>
      </c>
      <c r="D3" s="115" t="s">
        <v>122</v>
      </c>
      <c r="E3" s="3" t="s">
        <v>143</v>
      </c>
      <c r="F3" t="s">
        <v>282</v>
      </c>
      <c r="G3" t="s">
        <v>144</v>
      </c>
      <c r="H3" t="s">
        <v>145</v>
      </c>
      <c r="I3" t="s">
        <v>146</v>
      </c>
      <c r="J3" t="s">
        <v>147</v>
      </c>
      <c r="K3" t="s">
        <v>431</v>
      </c>
      <c r="L3" t="s">
        <v>430</v>
      </c>
      <c r="M3"/>
      <c r="N3"/>
      <c r="O3"/>
      <c r="U3" t="s">
        <v>370</v>
      </c>
    </row>
    <row r="4" spans="1:21">
      <c r="A4" t="str">
        <f t="shared" ref="A4:A35" si="0">E4</f>
        <v>東</v>
      </c>
      <c r="B4" s="3" t="s">
        <v>148</v>
      </c>
      <c r="C4" s="3" t="s">
        <v>353</v>
      </c>
      <c r="D4" s="115" t="s">
        <v>140</v>
      </c>
      <c r="E4" s="3" t="s">
        <v>314</v>
      </c>
      <c r="F4" t="s">
        <v>284</v>
      </c>
      <c r="G4" t="s">
        <v>149</v>
      </c>
      <c r="H4" t="s">
        <v>150</v>
      </c>
      <c r="I4" t="s">
        <v>151</v>
      </c>
      <c r="J4" t="s">
        <v>152</v>
      </c>
      <c r="K4" t="s">
        <v>432</v>
      </c>
      <c r="L4"/>
      <c r="M4"/>
      <c r="N4" t="s">
        <v>360</v>
      </c>
      <c r="O4">
        <v>50100200400</v>
      </c>
      <c r="P4">
        <v>50100200400</v>
      </c>
      <c r="R4">
        <v>50100200400</v>
      </c>
      <c r="S4">
        <v>50100200400</v>
      </c>
      <c r="U4" t="s">
        <v>382</v>
      </c>
    </row>
    <row r="5" spans="1:21">
      <c r="A5" t="str">
        <f t="shared" si="0"/>
        <v>西</v>
      </c>
      <c r="B5" s="3"/>
      <c r="C5" s="3" t="s">
        <v>353</v>
      </c>
      <c r="D5" s="115" t="s">
        <v>8</v>
      </c>
      <c r="E5" s="3" t="s">
        <v>315</v>
      </c>
      <c r="F5" t="s">
        <v>285</v>
      </c>
      <c r="G5" t="s">
        <v>153</v>
      </c>
      <c r="H5" t="s">
        <v>154</v>
      </c>
      <c r="I5" t="s">
        <v>155</v>
      </c>
      <c r="J5" t="s">
        <v>156</v>
      </c>
      <c r="K5" t="s">
        <v>433</v>
      </c>
      <c r="L5"/>
      <c r="M5"/>
      <c r="N5" t="s">
        <v>361</v>
      </c>
      <c r="O5">
        <v>100200</v>
      </c>
      <c r="P5">
        <v>100200</v>
      </c>
      <c r="R5">
        <v>50100200</v>
      </c>
      <c r="S5">
        <v>50100200</v>
      </c>
      <c r="U5" t="s">
        <v>371</v>
      </c>
    </row>
    <row r="6" spans="1:21">
      <c r="A6" t="str">
        <f t="shared" si="0"/>
        <v>南</v>
      </c>
      <c r="B6" s="3"/>
      <c r="C6" s="3" t="s">
        <v>353</v>
      </c>
      <c r="D6" s="115" t="s">
        <v>123</v>
      </c>
      <c r="E6" s="3" t="s">
        <v>316</v>
      </c>
      <c r="F6" t="s">
        <v>286</v>
      </c>
      <c r="G6" t="s">
        <v>157</v>
      </c>
      <c r="H6" t="s">
        <v>158</v>
      </c>
      <c r="I6" t="s">
        <v>159</v>
      </c>
      <c r="J6" t="s">
        <v>160</v>
      </c>
      <c r="K6" t="s">
        <v>434</v>
      </c>
      <c r="L6"/>
      <c r="M6"/>
      <c r="N6" t="s">
        <v>364</v>
      </c>
      <c r="O6">
        <v>100200</v>
      </c>
      <c r="P6">
        <v>100</v>
      </c>
      <c r="R6">
        <v>50100200</v>
      </c>
      <c r="S6">
        <v>50100</v>
      </c>
      <c r="U6" t="s">
        <v>372</v>
      </c>
    </row>
    <row r="7" spans="1:21">
      <c r="A7" t="str">
        <f t="shared" si="0"/>
        <v>北</v>
      </c>
      <c r="B7" s="3"/>
      <c r="C7" s="3" t="s">
        <v>353</v>
      </c>
      <c r="D7" s="115" t="s">
        <v>124</v>
      </c>
      <c r="E7" s="3" t="s">
        <v>317</v>
      </c>
      <c r="F7" t="s">
        <v>287</v>
      </c>
      <c r="G7" t="s">
        <v>161</v>
      </c>
      <c r="H7" t="s">
        <v>162</v>
      </c>
      <c r="I7" t="s">
        <v>163</v>
      </c>
      <c r="J7" t="s">
        <v>164</v>
      </c>
      <c r="K7" t="s">
        <v>435</v>
      </c>
      <c r="L7"/>
      <c r="M7"/>
      <c r="N7" t="s">
        <v>362</v>
      </c>
      <c r="O7">
        <v>100200</v>
      </c>
      <c r="P7">
        <v>100200</v>
      </c>
      <c r="R7">
        <v>50100200</v>
      </c>
      <c r="S7">
        <v>50100200</v>
      </c>
      <c r="U7" t="s">
        <v>373</v>
      </c>
    </row>
    <row r="8" spans="1:21">
      <c r="A8" t="str">
        <f t="shared" si="0"/>
        <v>多津美</v>
      </c>
      <c r="B8" s="3"/>
      <c r="C8" s="3" t="s">
        <v>353</v>
      </c>
      <c r="D8" s="115" t="s">
        <v>114</v>
      </c>
      <c r="E8" s="3" t="s">
        <v>165</v>
      </c>
      <c r="F8" t="s">
        <v>288</v>
      </c>
      <c r="G8" t="s">
        <v>166</v>
      </c>
      <c r="H8" t="s">
        <v>167</v>
      </c>
      <c r="I8" t="s">
        <v>168</v>
      </c>
      <c r="J8" t="s">
        <v>169</v>
      </c>
      <c r="K8" t="s">
        <v>436</v>
      </c>
      <c r="L8"/>
      <c r="M8"/>
      <c r="N8" t="s">
        <v>363</v>
      </c>
      <c r="O8">
        <v>200</v>
      </c>
      <c r="P8">
        <v>200</v>
      </c>
      <c r="R8">
        <v>200</v>
      </c>
      <c r="S8">
        <v>200</v>
      </c>
      <c r="U8" t="s">
        <v>374</v>
      </c>
    </row>
    <row r="9" spans="1:21">
      <c r="A9" t="str">
        <f t="shared" si="0"/>
        <v>新田</v>
      </c>
      <c r="B9" s="3"/>
      <c r="C9" s="3" t="s">
        <v>353</v>
      </c>
      <c r="D9" s="115" t="s">
        <v>7</v>
      </c>
      <c r="E9" s="3" t="s">
        <v>170</v>
      </c>
      <c r="F9" t="s">
        <v>289</v>
      </c>
      <c r="G9" t="s">
        <v>171</v>
      </c>
      <c r="H9" t="s">
        <v>172</v>
      </c>
      <c r="I9" t="s">
        <v>173</v>
      </c>
      <c r="J9" t="s">
        <v>174</v>
      </c>
      <c r="K9" t="s">
        <v>437</v>
      </c>
      <c r="L9"/>
      <c r="M9"/>
      <c r="N9"/>
      <c r="O9"/>
      <c r="U9" t="s">
        <v>375</v>
      </c>
    </row>
    <row r="10" spans="1:21">
      <c r="A10" t="str">
        <f t="shared" si="0"/>
        <v>東陽</v>
      </c>
      <c r="B10" s="3"/>
      <c r="C10" s="3" t="s">
        <v>353</v>
      </c>
      <c r="D10" s="115" t="s">
        <v>141</v>
      </c>
      <c r="E10" s="3" t="s">
        <v>175</v>
      </c>
      <c r="F10" t="s">
        <v>290</v>
      </c>
      <c r="G10" t="s">
        <v>176</v>
      </c>
      <c r="H10" t="s">
        <v>177</v>
      </c>
      <c r="I10" t="s">
        <v>178</v>
      </c>
      <c r="J10" t="s">
        <v>179</v>
      </c>
      <c r="K10" t="s">
        <v>438</v>
      </c>
      <c r="L10"/>
      <c r="M10"/>
      <c r="N10"/>
      <c r="O10"/>
      <c r="U10" t="s">
        <v>376</v>
      </c>
    </row>
    <row r="11" spans="1:21">
      <c r="A11" t="str">
        <f t="shared" si="0"/>
        <v>庄</v>
      </c>
      <c r="B11" s="3"/>
      <c r="C11" s="3" t="s">
        <v>353</v>
      </c>
      <c r="D11" s="115" t="s">
        <v>125</v>
      </c>
      <c r="E11" s="3" t="s">
        <v>180</v>
      </c>
      <c r="F11" t="s">
        <v>291</v>
      </c>
      <c r="G11" t="s">
        <v>181</v>
      </c>
      <c r="H11" t="s">
        <v>182</v>
      </c>
      <c r="I11" t="s">
        <v>183</v>
      </c>
      <c r="J11" t="s">
        <v>184</v>
      </c>
      <c r="K11" t="s">
        <v>439</v>
      </c>
      <c r="L11"/>
      <c r="M11"/>
      <c r="N11"/>
      <c r="O11"/>
      <c r="U11" t="s">
        <v>377</v>
      </c>
    </row>
    <row r="12" spans="1:21">
      <c r="A12" t="str">
        <f t="shared" si="0"/>
        <v>倉敷第一</v>
      </c>
      <c r="B12" s="3"/>
      <c r="C12" s="3" t="s">
        <v>353</v>
      </c>
      <c r="D12" s="115" t="s">
        <v>126</v>
      </c>
      <c r="E12" s="3" t="s">
        <v>185</v>
      </c>
      <c r="F12" t="s">
        <v>292</v>
      </c>
      <c r="G12" t="s">
        <v>186</v>
      </c>
      <c r="H12" t="s">
        <v>187</v>
      </c>
      <c r="I12" t="s">
        <v>188</v>
      </c>
      <c r="J12" t="s">
        <v>189</v>
      </c>
      <c r="K12" t="s">
        <v>473</v>
      </c>
      <c r="L12"/>
      <c r="M12"/>
      <c r="N12"/>
      <c r="O12"/>
      <c r="U12" t="s">
        <v>378</v>
      </c>
    </row>
    <row r="13" spans="1:21">
      <c r="A13" t="str">
        <f t="shared" si="0"/>
        <v>福田</v>
      </c>
      <c r="B13" s="3"/>
      <c r="C13" s="3" t="s">
        <v>353</v>
      </c>
      <c r="D13" s="115" t="s">
        <v>127</v>
      </c>
      <c r="E13" s="3" t="s">
        <v>318</v>
      </c>
      <c r="F13" t="s">
        <v>293</v>
      </c>
      <c r="G13" t="s">
        <v>190</v>
      </c>
      <c r="H13" t="s">
        <v>191</v>
      </c>
      <c r="I13" t="s">
        <v>192</v>
      </c>
      <c r="J13" t="s">
        <v>193</v>
      </c>
      <c r="K13" t="s">
        <v>440</v>
      </c>
      <c r="L13"/>
      <c r="M13"/>
      <c r="N13"/>
      <c r="O13"/>
      <c r="U13" t="s">
        <v>379</v>
      </c>
    </row>
    <row r="14" spans="1:21">
      <c r="A14" t="str">
        <f t="shared" si="0"/>
        <v>福田南</v>
      </c>
      <c r="B14" s="3"/>
      <c r="C14" s="3" t="s">
        <v>353</v>
      </c>
      <c r="D14" s="115" t="s">
        <v>128</v>
      </c>
      <c r="E14" s="3" t="s">
        <v>194</v>
      </c>
      <c r="F14" t="s">
        <v>294</v>
      </c>
      <c r="G14" t="s">
        <v>195</v>
      </c>
      <c r="H14" t="s">
        <v>191</v>
      </c>
      <c r="I14" t="s">
        <v>196</v>
      </c>
      <c r="J14" t="s">
        <v>197</v>
      </c>
      <c r="K14" t="s">
        <v>441</v>
      </c>
      <c r="L14"/>
      <c r="M14"/>
      <c r="N14"/>
      <c r="O14"/>
      <c r="U14" t="s">
        <v>380</v>
      </c>
    </row>
    <row r="15" spans="1:21">
      <c r="A15" t="str">
        <f t="shared" si="0"/>
        <v>水島</v>
      </c>
      <c r="B15" s="3"/>
      <c r="C15" s="3" t="s">
        <v>353</v>
      </c>
      <c r="D15" s="115" t="s">
        <v>129</v>
      </c>
      <c r="E15" s="3" t="s">
        <v>198</v>
      </c>
      <c r="F15" t="s">
        <v>295</v>
      </c>
      <c r="G15" t="s">
        <v>199</v>
      </c>
      <c r="H15" t="s">
        <v>200</v>
      </c>
      <c r="I15" t="s">
        <v>201</v>
      </c>
      <c r="J15" t="s">
        <v>202</v>
      </c>
      <c r="K15" t="s">
        <v>470</v>
      </c>
      <c r="L15"/>
      <c r="M15"/>
      <c r="N15"/>
      <c r="O15"/>
      <c r="U15" t="s">
        <v>381</v>
      </c>
    </row>
    <row r="16" spans="1:21">
      <c r="A16" t="str">
        <f t="shared" si="0"/>
        <v>連島</v>
      </c>
      <c r="B16" s="3"/>
      <c r="C16" s="3" t="s">
        <v>353</v>
      </c>
      <c r="D16" s="115" t="s">
        <v>105</v>
      </c>
      <c r="E16" s="3" t="s">
        <v>203</v>
      </c>
      <c r="F16" t="s">
        <v>296</v>
      </c>
      <c r="G16" t="s">
        <v>204</v>
      </c>
      <c r="H16" t="s">
        <v>205</v>
      </c>
      <c r="I16" t="s">
        <v>206</v>
      </c>
      <c r="J16" t="s">
        <v>207</v>
      </c>
      <c r="K16" t="s">
        <v>442</v>
      </c>
      <c r="L16"/>
      <c r="M16"/>
      <c r="N16"/>
      <c r="O16"/>
    </row>
    <row r="17" spans="1:15">
      <c r="A17" t="str">
        <f t="shared" si="0"/>
        <v>連島南</v>
      </c>
      <c r="B17" s="3"/>
      <c r="C17" s="3" t="s">
        <v>353</v>
      </c>
      <c r="D17" s="115" t="s">
        <v>130</v>
      </c>
      <c r="E17" s="3" t="s">
        <v>208</v>
      </c>
      <c r="F17" t="s">
        <v>297</v>
      </c>
      <c r="G17" t="s">
        <v>209</v>
      </c>
      <c r="H17" t="s">
        <v>210</v>
      </c>
      <c r="I17" t="s">
        <v>211</v>
      </c>
      <c r="J17" t="s">
        <v>212</v>
      </c>
      <c r="K17" t="s">
        <v>443</v>
      </c>
      <c r="L17"/>
      <c r="M17"/>
      <c r="N17"/>
      <c r="O17"/>
    </row>
    <row r="18" spans="1:15">
      <c r="A18" t="str">
        <f t="shared" si="0"/>
        <v>味野</v>
      </c>
      <c r="B18" s="3"/>
      <c r="C18" s="3" t="s">
        <v>353</v>
      </c>
      <c r="D18" s="115" t="s">
        <v>131</v>
      </c>
      <c r="E18" s="3" t="s">
        <v>213</v>
      </c>
      <c r="F18" t="s">
        <v>298</v>
      </c>
      <c r="G18" t="s">
        <v>214</v>
      </c>
      <c r="H18" t="s">
        <v>215</v>
      </c>
      <c r="I18" t="s">
        <v>216</v>
      </c>
      <c r="J18" t="s">
        <v>217</v>
      </c>
      <c r="K18" t="s">
        <v>444</v>
      </c>
      <c r="L18"/>
      <c r="M18"/>
      <c r="N18"/>
      <c r="O18"/>
    </row>
    <row r="19" spans="1:15">
      <c r="A19" t="str">
        <f t="shared" si="0"/>
        <v>下津井</v>
      </c>
      <c r="B19" s="3"/>
      <c r="C19" s="3" t="s">
        <v>353</v>
      </c>
      <c r="D19" s="115" t="s">
        <v>132</v>
      </c>
      <c r="E19" s="3" t="s">
        <v>218</v>
      </c>
      <c r="F19" t="s">
        <v>299</v>
      </c>
      <c r="G19" t="s">
        <v>219</v>
      </c>
      <c r="H19" t="s">
        <v>220</v>
      </c>
      <c r="I19" t="s">
        <v>221</v>
      </c>
      <c r="J19" t="s">
        <v>222</v>
      </c>
      <c r="K19" t="s">
        <v>445</v>
      </c>
      <c r="L19"/>
      <c r="M19"/>
      <c r="N19"/>
      <c r="O19"/>
    </row>
    <row r="20" spans="1:15">
      <c r="A20" t="str">
        <f t="shared" si="0"/>
        <v>児島</v>
      </c>
      <c r="B20" s="3"/>
      <c r="C20" s="3" t="s">
        <v>353</v>
      </c>
      <c r="D20" s="115" t="s">
        <v>133</v>
      </c>
      <c r="E20" s="3" t="s">
        <v>223</v>
      </c>
      <c r="F20" t="s">
        <v>300</v>
      </c>
      <c r="G20" t="s">
        <v>224</v>
      </c>
      <c r="H20" t="s">
        <v>225</v>
      </c>
      <c r="I20" t="s">
        <v>226</v>
      </c>
      <c r="J20" t="s">
        <v>227</v>
      </c>
      <c r="K20" t="s">
        <v>446</v>
      </c>
      <c r="L20"/>
      <c r="M20"/>
      <c r="N20"/>
      <c r="O20"/>
    </row>
    <row r="21" spans="1:15">
      <c r="A21" t="str">
        <f t="shared" si="0"/>
        <v>琴浦</v>
      </c>
      <c r="B21" s="3"/>
      <c r="C21" s="3" t="s">
        <v>353</v>
      </c>
      <c r="D21" s="115" t="s">
        <v>134</v>
      </c>
      <c r="E21" s="3" t="s">
        <v>228</v>
      </c>
      <c r="F21" t="s">
        <v>301</v>
      </c>
      <c r="G21" t="s">
        <v>229</v>
      </c>
      <c r="H21" t="s">
        <v>230</v>
      </c>
      <c r="I21" t="s">
        <v>231</v>
      </c>
      <c r="J21" t="s">
        <v>232</v>
      </c>
      <c r="K21" t="s">
        <v>447</v>
      </c>
      <c r="L21"/>
      <c r="M21"/>
      <c r="N21"/>
      <c r="O21"/>
    </row>
    <row r="22" spans="1:15">
      <c r="A22" t="str">
        <f t="shared" si="0"/>
        <v>郷内</v>
      </c>
      <c r="B22" s="3"/>
      <c r="C22" s="3" t="s">
        <v>353</v>
      </c>
      <c r="D22" s="115" t="s">
        <v>135</v>
      </c>
      <c r="E22" s="3" t="s">
        <v>233</v>
      </c>
      <c r="F22" t="s">
        <v>302</v>
      </c>
      <c r="G22" t="s">
        <v>234</v>
      </c>
      <c r="H22" t="s">
        <v>235</v>
      </c>
      <c r="I22" t="s">
        <v>236</v>
      </c>
      <c r="J22" t="s">
        <v>237</v>
      </c>
      <c r="K22" t="s">
        <v>448</v>
      </c>
      <c r="L22"/>
      <c r="M22"/>
      <c r="N22"/>
      <c r="O22"/>
    </row>
    <row r="23" spans="1:15">
      <c r="A23" t="str">
        <f t="shared" si="0"/>
        <v>玉島東</v>
      </c>
      <c r="B23" s="3"/>
      <c r="C23" s="3" t="s">
        <v>353</v>
      </c>
      <c r="D23" s="115" t="s">
        <v>118</v>
      </c>
      <c r="E23" s="3" t="s">
        <v>238</v>
      </c>
      <c r="F23" t="s">
        <v>303</v>
      </c>
      <c r="G23" t="s">
        <v>239</v>
      </c>
      <c r="H23" t="s">
        <v>240</v>
      </c>
      <c r="I23" t="s">
        <v>241</v>
      </c>
      <c r="J23" t="s">
        <v>242</v>
      </c>
      <c r="K23" t="s">
        <v>449</v>
      </c>
      <c r="L23" t="s">
        <v>450</v>
      </c>
      <c r="M23"/>
      <c r="N23"/>
      <c r="O23"/>
    </row>
    <row r="24" spans="1:15">
      <c r="A24" t="str">
        <f t="shared" si="0"/>
        <v>玉島西</v>
      </c>
      <c r="B24" s="3"/>
      <c r="C24" s="3" t="s">
        <v>353</v>
      </c>
      <c r="D24" s="115" t="s">
        <v>136</v>
      </c>
      <c r="E24" s="3" t="s">
        <v>243</v>
      </c>
      <c r="F24" t="s">
        <v>304</v>
      </c>
      <c r="G24" t="s">
        <v>244</v>
      </c>
      <c r="H24" t="s">
        <v>245</v>
      </c>
      <c r="I24" t="s">
        <v>246</v>
      </c>
      <c r="J24" t="s">
        <v>247</v>
      </c>
      <c r="K24" t="s">
        <v>451</v>
      </c>
      <c r="L24"/>
      <c r="M24"/>
      <c r="N24"/>
      <c r="O24"/>
    </row>
    <row r="25" spans="1:15">
      <c r="A25" t="str">
        <f t="shared" si="0"/>
        <v>玉島北</v>
      </c>
      <c r="B25" s="3"/>
      <c r="C25" s="3" t="s">
        <v>353</v>
      </c>
      <c r="D25" s="115" t="s">
        <v>137</v>
      </c>
      <c r="E25" s="3" t="s">
        <v>248</v>
      </c>
      <c r="F25" t="s">
        <v>305</v>
      </c>
      <c r="G25" t="s">
        <v>249</v>
      </c>
      <c r="H25" t="s">
        <v>250</v>
      </c>
      <c r="I25" t="s">
        <v>346</v>
      </c>
      <c r="J25" t="s">
        <v>251</v>
      </c>
      <c r="K25" t="s">
        <v>452</v>
      </c>
      <c r="L25" t="s">
        <v>453</v>
      </c>
      <c r="M25"/>
      <c r="N25"/>
      <c r="O25"/>
    </row>
    <row r="26" spans="1:15">
      <c r="A26" t="str">
        <f t="shared" si="0"/>
        <v>黒崎</v>
      </c>
      <c r="B26" s="3"/>
      <c r="C26" s="3" t="s">
        <v>353</v>
      </c>
      <c r="D26" s="115" t="s">
        <v>138</v>
      </c>
      <c r="E26" s="3" t="s">
        <v>252</v>
      </c>
      <c r="F26" t="s">
        <v>306</v>
      </c>
      <c r="G26" t="s">
        <v>253</v>
      </c>
      <c r="H26" t="s">
        <v>254</v>
      </c>
      <c r="I26" t="s">
        <v>255</v>
      </c>
      <c r="J26" t="s">
        <v>256</v>
      </c>
      <c r="K26" t="s">
        <v>454</v>
      </c>
      <c r="L26" t="s">
        <v>455</v>
      </c>
      <c r="M26"/>
      <c r="N26"/>
      <c r="O26"/>
    </row>
    <row r="27" spans="1:15">
      <c r="A27" t="str">
        <f t="shared" si="0"/>
        <v>船穂</v>
      </c>
      <c r="B27" s="3"/>
      <c r="C27" s="3" t="s">
        <v>353</v>
      </c>
      <c r="D27" s="115" t="s">
        <v>139</v>
      </c>
      <c r="E27" s="3" t="s">
        <v>257</v>
      </c>
      <c r="F27" t="s">
        <v>307</v>
      </c>
      <c r="G27" t="s">
        <v>258</v>
      </c>
      <c r="H27" t="s">
        <v>259</v>
      </c>
      <c r="I27" t="s">
        <v>260</v>
      </c>
      <c r="J27" t="s">
        <v>491</v>
      </c>
      <c r="K27" t="s">
        <v>456</v>
      </c>
      <c r="L27" t="s">
        <v>457</v>
      </c>
      <c r="M27"/>
      <c r="N27"/>
      <c r="O27"/>
    </row>
    <row r="28" spans="1:15">
      <c r="A28" t="str">
        <f t="shared" si="0"/>
        <v>真備</v>
      </c>
      <c r="B28" s="3"/>
      <c r="C28" s="3" t="s">
        <v>353</v>
      </c>
      <c r="D28" s="115" t="s">
        <v>462</v>
      </c>
      <c r="E28" s="3" t="s">
        <v>265</v>
      </c>
      <c r="F28" t="s">
        <v>463</v>
      </c>
      <c r="G28" t="s">
        <v>266</v>
      </c>
      <c r="H28" t="s">
        <v>263</v>
      </c>
      <c r="I28" t="s">
        <v>264</v>
      </c>
      <c r="J28" t="s">
        <v>349</v>
      </c>
      <c r="K28" t="s">
        <v>458</v>
      </c>
      <c r="L28"/>
      <c r="M28"/>
      <c r="N28"/>
      <c r="O28"/>
    </row>
    <row r="29" spans="1:15">
      <c r="A29" t="str">
        <f>E29</f>
        <v>真備東</v>
      </c>
      <c r="B29" s="3"/>
      <c r="C29" s="3" t="s">
        <v>353</v>
      </c>
      <c r="D29" s="115" t="s">
        <v>461</v>
      </c>
      <c r="E29" s="3" t="s">
        <v>261</v>
      </c>
      <c r="F29" t="s">
        <v>308</v>
      </c>
      <c r="G29" t="s">
        <v>262</v>
      </c>
      <c r="H29" t="s">
        <v>267</v>
      </c>
      <c r="I29" t="s">
        <v>268</v>
      </c>
      <c r="J29" t="s">
        <v>348</v>
      </c>
      <c r="K29" t="s">
        <v>459</v>
      </c>
      <c r="L29" t="s">
        <v>460</v>
      </c>
      <c r="M29"/>
      <c r="N29"/>
      <c r="O29"/>
    </row>
    <row r="30" spans="1:15">
      <c r="A30" t="str">
        <f t="shared" si="0"/>
        <v>倉敷天城</v>
      </c>
      <c r="B30" s="3"/>
      <c r="C30" s="3" t="s">
        <v>353</v>
      </c>
      <c r="D30" s="115" t="s">
        <v>269</v>
      </c>
      <c r="E30" s="3" t="s">
        <v>270</v>
      </c>
      <c r="F30" t="s">
        <v>309</v>
      </c>
      <c r="G30" t="s">
        <v>365</v>
      </c>
      <c r="H30" t="s">
        <v>310</v>
      </c>
      <c r="I30" t="s">
        <v>311</v>
      </c>
      <c r="J30" t="s">
        <v>312</v>
      </c>
      <c r="K30" t="s">
        <v>464</v>
      </c>
      <c r="L30"/>
      <c r="M30"/>
      <c r="N30"/>
      <c r="O30"/>
    </row>
    <row r="31" spans="1:15">
      <c r="A31" t="str">
        <f t="shared" si="0"/>
        <v>総社東</v>
      </c>
      <c r="B31" s="3" t="s">
        <v>319</v>
      </c>
      <c r="C31" s="3" t="s">
        <v>354</v>
      </c>
      <c r="D31" s="115" t="s">
        <v>39</v>
      </c>
      <c r="E31" s="3" t="s">
        <v>320</v>
      </c>
      <c r="F31" t="s">
        <v>340</v>
      </c>
      <c r="G31" t="s">
        <v>321</v>
      </c>
      <c r="H31" t="s">
        <v>322</v>
      </c>
      <c r="I31" t="s">
        <v>323</v>
      </c>
      <c r="J31" t="s">
        <v>324</v>
      </c>
      <c r="K31" t="s">
        <v>468</v>
      </c>
      <c r="L31"/>
      <c r="M31"/>
      <c r="N31"/>
      <c r="O31"/>
    </row>
    <row r="32" spans="1:15">
      <c r="A32" t="str">
        <f t="shared" si="0"/>
        <v>総社西</v>
      </c>
      <c r="B32" s="3"/>
      <c r="C32" s="3" t="s">
        <v>354</v>
      </c>
      <c r="D32" s="115" t="s">
        <v>8</v>
      </c>
      <c r="E32" s="3" t="s">
        <v>325</v>
      </c>
      <c r="F32" t="s">
        <v>341</v>
      </c>
      <c r="G32" t="s">
        <v>326</v>
      </c>
      <c r="H32" t="s">
        <v>327</v>
      </c>
      <c r="I32" t="s">
        <v>328</v>
      </c>
      <c r="J32" t="s">
        <v>329</v>
      </c>
      <c r="K32" t="s">
        <v>467</v>
      </c>
      <c r="L32"/>
      <c r="M32"/>
      <c r="N32"/>
      <c r="O32"/>
    </row>
    <row r="33" spans="1:15">
      <c r="A33" t="str">
        <f t="shared" si="0"/>
        <v>総社</v>
      </c>
      <c r="B33" s="3"/>
      <c r="C33" s="3" t="s">
        <v>354</v>
      </c>
      <c r="D33" s="115" t="s">
        <v>123</v>
      </c>
      <c r="E33" s="3" t="s">
        <v>330</v>
      </c>
      <c r="F33" t="s">
        <v>342</v>
      </c>
      <c r="G33" t="s">
        <v>331</v>
      </c>
      <c r="H33" t="s">
        <v>332</v>
      </c>
      <c r="I33" t="s">
        <v>333</v>
      </c>
      <c r="J33" t="s">
        <v>334</v>
      </c>
      <c r="K33" t="s">
        <v>465</v>
      </c>
      <c r="L33" t="s">
        <v>466</v>
      </c>
      <c r="M33"/>
      <c r="N33"/>
      <c r="O33"/>
    </row>
    <row r="34" spans="1:15">
      <c r="A34" t="str">
        <f t="shared" si="0"/>
        <v>昭和</v>
      </c>
      <c r="B34" s="3"/>
      <c r="C34" s="3" t="s">
        <v>354</v>
      </c>
      <c r="D34" s="115" t="s">
        <v>124</v>
      </c>
      <c r="E34" s="3" t="s">
        <v>335</v>
      </c>
      <c r="F34" t="s">
        <v>343</v>
      </c>
      <c r="G34" t="s">
        <v>336</v>
      </c>
      <c r="H34" t="s">
        <v>337</v>
      </c>
      <c r="I34" t="s">
        <v>338</v>
      </c>
      <c r="J34" t="s">
        <v>339</v>
      </c>
      <c r="K34" t="s">
        <v>471</v>
      </c>
      <c r="L34"/>
      <c r="M34"/>
      <c r="N34"/>
      <c r="O34"/>
    </row>
    <row r="35" spans="1:15">
      <c r="A35" t="str">
        <f t="shared" si="0"/>
        <v>清心</v>
      </c>
      <c r="B35" s="3" t="s">
        <v>148</v>
      </c>
      <c r="C35" s="3" t="s">
        <v>355</v>
      </c>
      <c r="D35" s="115" t="s">
        <v>114</v>
      </c>
      <c r="E35" s="3" t="s">
        <v>0</v>
      </c>
      <c r="F35" t="s">
        <v>280</v>
      </c>
      <c r="G35" t="s">
        <v>1</v>
      </c>
      <c r="H35" t="s">
        <v>2</v>
      </c>
      <c r="I35" t="s">
        <v>3</v>
      </c>
      <c r="J35" t="s">
        <v>4</v>
      </c>
      <c r="K35" t="s">
        <v>469</v>
      </c>
      <c r="L35"/>
      <c r="M35"/>
      <c r="N35"/>
      <c r="O35"/>
    </row>
    <row r="36" spans="1:15">
      <c r="N36"/>
      <c r="O36"/>
    </row>
    <row r="37" spans="1:15">
      <c r="N37"/>
      <c r="O37"/>
    </row>
    <row r="38" spans="1:15">
      <c r="N38"/>
      <c r="O38"/>
    </row>
    <row r="39" spans="1:15">
      <c r="N39"/>
      <c r="O39"/>
    </row>
    <row r="40" spans="1:15">
      <c r="N40"/>
      <c r="O40"/>
    </row>
    <row r="42" spans="1:15">
      <c r="O42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Z42"/>
  <sheetViews>
    <sheetView workbookViewId="0">
      <selection activeCell="M9" sqref="M9"/>
    </sheetView>
  </sheetViews>
  <sheetFormatPr defaultColWidth="8.75" defaultRowHeight="13.5"/>
  <cols>
    <col min="1" max="1" width="4.375" style="6" customWidth="1"/>
    <col min="2" max="2" width="13.125" style="6" customWidth="1"/>
    <col min="3" max="3" width="12.5" style="6" customWidth="1"/>
    <col min="4" max="4" width="5.5" style="6" bestFit="1" customWidth="1"/>
    <col min="5" max="6" width="3.75" style="6" customWidth="1"/>
    <col min="7" max="7" width="5.625" style="6" bestFit="1" customWidth="1"/>
    <col min="8" max="8" width="9.125" style="6" customWidth="1"/>
    <col min="9" max="9" width="5.625" style="6" bestFit="1" customWidth="1"/>
    <col min="10" max="10" width="9.5" style="6" customWidth="1"/>
    <col min="11" max="13" width="3" style="6" customWidth="1"/>
    <col min="14" max="14" width="5.625" style="6" bestFit="1" customWidth="1"/>
    <col min="15" max="15" width="9.5" style="6" customWidth="1"/>
    <col min="16" max="18" width="3" style="6" customWidth="1"/>
    <col min="19" max="20" width="21.625" style="6" bestFit="1" customWidth="1"/>
    <col min="21" max="21" width="10.5" bestFit="1" customWidth="1"/>
    <col min="22" max="23" width="9" customWidth="1"/>
    <col min="24" max="25" width="18.625" customWidth="1"/>
    <col min="26" max="26" width="2.5" customWidth="1"/>
    <col min="27" max="27" width="17.375" customWidth="1"/>
    <col min="28" max="28" width="9" bestFit="1" customWidth="1"/>
    <col min="32" max="32" width="5.75" customWidth="1"/>
    <col min="33" max="33" width="5.625" customWidth="1"/>
    <col min="34" max="34" width="6.125" customWidth="1"/>
    <col min="51" max="52" width="17.625" bestFit="1" customWidth="1"/>
  </cols>
  <sheetData>
    <row r="1" spans="1:52" ht="6" customHeight="1" thickBo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52"/>
    </row>
    <row r="2" spans="1:52">
      <c r="A2" s="42"/>
      <c r="B2" s="243" t="s">
        <v>42</v>
      </c>
      <c r="C2" s="244"/>
      <c r="D2" s="244"/>
      <c r="E2" s="244"/>
      <c r="F2" s="244"/>
      <c r="G2" s="244"/>
      <c r="H2" s="245"/>
      <c r="I2" s="42"/>
      <c r="J2" s="265" t="s">
        <v>281</v>
      </c>
      <c r="K2" s="265"/>
      <c r="L2" s="265"/>
      <c r="M2" s="265"/>
      <c r="N2" s="265"/>
      <c r="O2" s="265"/>
      <c r="P2" s="265"/>
      <c r="Q2" s="265"/>
      <c r="R2" s="42"/>
      <c r="S2" s="42"/>
      <c r="T2" s="42"/>
      <c r="U2" s="52"/>
      <c r="AO2" s="153"/>
      <c r="AP2" s="263" t="s">
        <v>357</v>
      </c>
      <c r="AQ2" s="263"/>
      <c r="AR2" s="263"/>
      <c r="AS2" s="263"/>
      <c r="AT2" s="263" t="s">
        <v>358</v>
      </c>
      <c r="AU2" s="263"/>
      <c r="AV2" s="263"/>
      <c r="AW2" s="263"/>
    </row>
    <row r="3" spans="1:52" ht="14.25" thickBot="1">
      <c r="A3" s="42"/>
      <c r="B3" s="246"/>
      <c r="C3" s="247"/>
      <c r="D3" s="247"/>
      <c r="E3" s="247"/>
      <c r="F3" s="247"/>
      <c r="G3" s="247"/>
      <c r="H3" s="248"/>
      <c r="I3" s="42"/>
      <c r="J3" s="265"/>
      <c r="K3" s="265"/>
      <c r="L3" s="265"/>
      <c r="M3" s="265"/>
      <c r="N3" s="265"/>
      <c r="O3" s="265"/>
      <c r="P3" s="265"/>
      <c r="Q3" s="265"/>
      <c r="R3" s="42"/>
      <c r="S3" s="42"/>
      <c r="T3" s="42"/>
      <c r="U3" s="52"/>
      <c r="X3" s="161"/>
      <c r="Y3">
        <f ca="1">YEAR(TODAY())-1988</f>
        <v>36</v>
      </c>
      <c r="AO3" s="153"/>
      <c r="AP3" s="153">
        <v>50</v>
      </c>
      <c r="AQ3" s="153">
        <v>100</v>
      </c>
      <c r="AR3" s="153">
        <v>200</v>
      </c>
      <c r="AS3" s="153">
        <v>400</v>
      </c>
      <c r="AT3" s="153">
        <v>50</v>
      </c>
      <c r="AU3" s="153">
        <v>100</v>
      </c>
      <c r="AV3" s="153">
        <v>200</v>
      </c>
      <c r="AW3" s="153">
        <v>400</v>
      </c>
    </row>
    <row r="4" spans="1:52">
      <c r="A4" s="42"/>
      <c r="B4" s="105" t="s">
        <v>274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159"/>
      <c r="U4" s="52"/>
      <c r="AB4" t="s">
        <v>420</v>
      </c>
      <c r="AO4" s="153"/>
      <c r="AP4" s="153" t="str">
        <f>IF(①基本データ入力!$H$10=$AO$16,IF(AP18&lt;&gt;"",AP18,""),AP27)</f>
        <v>自由形</v>
      </c>
      <c r="AQ4" s="153" t="str">
        <f>IF(①基本データ入力!$H$10=$AO$16,IF(AQ18&lt;&gt;"",AQ18,""),AQ27)</f>
        <v>自由形</v>
      </c>
      <c r="AR4" s="153" t="str">
        <f>IF(①基本データ入力!$H$10=$AO$16,IF(AR18&lt;&gt;"",AR18,""),AR27)</f>
        <v>自由形</v>
      </c>
      <c r="AS4" s="153" t="str">
        <f>IF(①基本データ入力!$H$10=$AO$16,IF(AS18&lt;&gt;"",AS18,""),AS27)</f>
        <v>自由形</v>
      </c>
      <c r="AT4" s="153" t="str">
        <f>IF(①基本データ入力!$H$10=$AO$16,IF(AT18&lt;&gt;"",AT18,""),AT27)</f>
        <v>自由形</v>
      </c>
      <c r="AU4" s="153" t="str">
        <f>IF(①基本データ入力!$H$10=$AO$16,IF(AU18&lt;&gt;"",AU18,""),AU27)</f>
        <v>自由形</v>
      </c>
      <c r="AV4" s="153" t="str">
        <f>IF(①基本データ入力!$H$10=$AO$16,IF(AV18&lt;&gt;"",AV18,""),AV27)</f>
        <v>自由形</v>
      </c>
      <c r="AW4" s="153" t="str">
        <f>IF(①基本データ入力!$H$10=$AO$16,IF(AW18&lt;&gt;"",AW18,""),AW27)</f>
        <v>自由形</v>
      </c>
    </row>
    <row r="5" spans="1:52" ht="18" thickBot="1">
      <c r="A5" s="42"/>
      <c r="B5" s="264" t="str">
        <f>IF(AC8=TRUE,"参加種目制限をオーバーしました。各校男女それぞれ１種目５名までです。ご確認ください。","")</f>
        <v/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160" t="str">
        <f>IF(T5=FALSE,"同種目　3人以上です","")</f>
        <v/>
      </c>
      <c r="T5" s="208" t="b">
        <f>AND(AB8&lt;4,AB9&lt;4,AB10&lt;4,AB11&lt;4,AB12&lt;4,AB13&lt;4,AB14&lt;4,AB15&lt;4,AB16&lt;4,AB17&lt;4,AB18&lt;4,AB19&lt;4,AB20&lt;4,AB21&lt;4,AB22&lt;4,AB23&lt;4,AB24&lt;4,AB25&lt;4,AB26&lt;4,AB27&lt;4,AB28&lt;4,AB29&lt;4,AB30&lt;4,AB31&lt;4,AB32&lt;4,AB33&lt;4,AB34&lt;4)</f>
        <v>1</v>
      </c>
      <c r="U5" s="52"/>
      <c r="AE5" t="s">
        <v>419</v>
      </c>
      <c r="AF5" s="266" t="s">
        <v>386</v>
      </c>
      <c r="AG5" s="266" t="s">
        <v>387</v>
      </c>
      <c r="AH5" s="267" t="s">
        <v>385</v>
      </c>
      <c r="AI5" s="267" t="s">
        <v>383</v>
      </c>
      <c r="AJ5" s="267" t="s">
        <v>384</v>
      </c>
      <c r="AO5" s="153"/>
      <c r="AP5" s="153" t="str">
        <f>IF(①基本データ入力!$H$10=$AO$16,IF(AP19&lt;&gt;"",AP19,""),AP28)</f>
        <v/>
      </c>
      <c r="AQ5" s="153" t="str">
        <f>IF(①基本データ入力!$H$10=$AO$16,IF(AQ19&lt;&gt;"",AQ19,""),AQ28)</f>
        <v>平泳ぎ</v>
      </c>
      <c r="AR5" s="153" t="str">
        <f>IF(①基本データ入力!$H$10=$AO$16,IF(AR19&lt;&gt;"",AR19,""),AR28)</f>
        <v>平泳ぎ</v>
      </c>
      <c r="AS5" s="153"/>
      <c r="AT5" s="153" t="str">
        <f>IF(①基本データ入力!$H$10=$AO$16,IF(AT19&lt;&gt;"",AT19,""),AT28)</f>
        <v/>
      </c>
      <c r="AU5" s="153" t="str">
        <f>IF(①基本データ入力!$H$10=$AO$16,IF(AU19&lt;&gt;"",AU19,""),AU28)</f>
        <v>平泳ぎ</v>
      </c>
      <c r="AV5" s="153" t="str">
        <f>IF(①基本データ入力!$H$10=$AO$16,IF(AV19&lt;&gt;"",AV19,""),AV28)</f>
        <v>平泳ぎ</v>
      </c>
      <c r="AW5" s="153"/>
    </row>
    <row r="6" spans="1:52" ht="18" thickBot="1">
      <c r="A6" s="43" t="s">
        <v>69</v>
      </c>
      <c r="B6" s="44" t="s">
        <v>70</v>
      </c>
      <c r="C6" s="44" t="s">
        <v>71</v>
      </c>
      <c r="D6" s="44" t="s">
        <v>72</v>
      </c>
      <c r="E6" s="44" t="s">
        <v>11</v>
      </c>
      <c r="F6" s="44" t="s">
        <v>12</v>
      </c>
      <c r="G6" s="44" t="s">
        <v>13</v>
      </c>
      <c r="H6" s="45" t="s">
        <v>73</v>
      </c>
      <c r="I6" s="102" t="s">
        <v>15</v>
      </c>
      <c r="J6" s="103" t="s">
        <v>14</v>
      </c>
      <c r="K6" s="103" t="s">
        <v>16</v>
      </c>
      <c r="L6" s="103" t="s">
        <v>17</v>
      </c>
      <c r="M6" s="104"/>
      <c r="N6" s="139" t="s">
        <v>15</v>
      </c>
      <c r="O6" s="44" t="s">
        <v>18</v>
      </c>
      <c r="P6" s="44" t="s">
        <v>16</v>
      </c>
      <c r="Q6" s="44" t="s">
        <v>17</v>
      </c>
      <c r="R6" s="122"/>
      <c r="S6" s="155"/>
      <c r="T6" s="155"/>
      <c r="U6" s="52"/>
      <c r="X6" t="s">
        <v>120</v>
      </c>
      <c r="AA6" s="1" t="s">
        <v>417</v>
      </c>
      <c r="AB6" t="s">
        <v>418</v>
      </c>
      <c r="AF6" s="266"/>
      <c r="AG6" s="266"/>
      <c r="AH6" s="267"/>
      <c r="AI6" s="267"/>
      <c r="AJ6" s="267"/>
      <c r="AO6" s="153"/>
      <c r="AP6" s="153" t="str">
        <f>IF(①基本データ入力!$H$10=$AO$16,IF(AP20&lt;&gt;"",AP20,""),AP29)</f>
        <v/>
      </c>
      <c r="AQ6" s="153" t="str">
        <f>IF(①基本データ入力!$H$10=$AO$16,IF(AQ20&lt;&gt;"",AQ20,""),AQ29)</f>
        <v>バタフライ</v>
      </c>
      <c r="AR6" s="153" t="str">
        <f>IF(①基本データ入力!$H$10=$AO$16,IF(AR20&lt;&gt;"",AR20,""),AR29)</f>
        <v>バタフライ</v>
      </c>
      <c r="AS6" s="153"/>
      <c r="AT6" s="153" t="str">
        <f>IF(①基本データ入力!$H$10=$AO$16,IF(AT20&lt;&gt;"",AT20,""),AT29)</f>
        <v/>
      </c>
      <c r="AU6" s="153" t="str">
        <f>IF(①基本データ入力!$H$10=$AO$16,IF(AU20&lt;&gt;"",AU20,""),AU29)</f>
        <v>バタフライ</v>
      </c>
      <c r="AV6" s="153" t="str">
        <f>IF(①基本データ入力!$H$10=$AO$16,IF(AV20&lt;&gt;"",AV20,""),AV29)</f>
        <v>背泳ぎ</v>
      </c>
      <c r="AW6" s="153"/>
    </row>
    <row r="7" spans="1:52" s="1" customFormat="1" ht="18" thickBot="1">
      <c r="A7" s="46" t="s">
        <v>6</v>
      </c>
      <c r="B7" s="124" t="s">
        <v>276</v>
      </c>
      <c r="C7" s="47" t="s">
        <v>277</v>
      </c>
      <c r="D7" s="47">
        <f ca="1">YEAR(TODAY())-15</f>
        <v>2009</v>
      </c>
      <c r="E7" s="48" t="s">
        <v>7</v>
      </c>
      <c r="F7" s="48" t="s">
        <v>347</v>
      </c>
      <c r="G7" s="48" t="s">
        <v>9</v>
      </c>
      <c r="H7" s="49" t="str">
        <f>IF(B7="","",IF(①基本データ入力!$D$13="","",①基本データ入力!$D$13))</f>
        <v/>
      </c>
      <c r="I7" s="100" t="s">
        <v>117</v>
      </c>
      <c r="J7" s="101" t="s">
        <v>116</v>
      </c>
      <c r="K7" s="101" t="s">
        <v>106</v>
      </c>
      <c r="L7" s="101" t="s">
        <v>19</v>
      </c>
      <c r="M7" s="49" t="s">
        <v>20</v>
      </c>
      <c r="N7" s="140" t="s">
        <v>10</v>
      </c>
      <c r="O7" s="138" t="s">
        <v>23</v>
      </c>
      <c r="P7" s="48" t="s">
        <v>107</v>
      </c>
      <c r="Q7" s="48" t="s">
        <v>22</v>
      </c>
      <c r="R7" s="49" t="s">
        <v>115</v>
      </c>
      <c r="S7" s="155"/>
      <c r="T7" s="155"/>
      <c r="U7" s="52"/>
      <c r="V7"/>
      <c r="W7"/>
      <c r="AF7" s="266"/>
      <c r="AG7" s="266"/>
      <c r="AH7" s="267"/>
      <c r="AI7" s="267"/>
      <c r="AJ7" s="267"/>
      <c r="AO7" s="153"/>
      <c r="AP7" s="153" t="str">
        <f>IF(①基本データ入力!$H$10=$AO$16,IF(AP21&lt;&gt;"",AP21,""),AP30)</f>
        <v/>
      </c>
      <c r="AQ7" s="153" t="str">
        <f>IF(①基本データ入力!$H$10=$AO$16,IF(AQ21&lt;&gt;"",AQ21,""),AQ30)</f>
        <v>背泳ぎ</v>
      </c>
      <c r="AR7" s="153" t="str">
        <f>IF(①基本データ入力!$H$10=$AO$16,IF(AR21&lt;&gt;"",AR21,""),AR30)</f>
        <v>背泳ぎ</v>
      </c>
      <c r="AS7" s="153"/>
      <c r="AT7" s="153" t="str">
        <f>IF(①基本データ入力!$H$10=$AO$16,IF(AT21&lt;&gt;"",AT21,""),AT30)</f>
        <v/>
      </c>
      <c r="AU7" s="153" t="str">
        <f>IF(①基本データ入力!$H$10=$AO$16,IF(AU21&lt;&gt;"",AU21,""),AU30)</f>
        <v>背泳ぎ</v>
      </c>
      <c r="AV7" s="153" t="str">
        <f>IF(①基本データ入力!$H$10=$AO$16,IF(AV21&lt;&gt;"",AV21,""),AV30)</f>
        <v>個人メドレー</v>
      </c>
      <c r="AW7" s="153"/>
    </row>
    <row r="8" spans="1:52">
      <c r="A8" s="29"/>
      <c r="B8" s="125"/>
      <c r="C8" s="96"/>
      <c r="D8" s="30"/>
      <c r="E8" s="30"/>
      <c r="F8" s="30"/>
      <c r="G8" s="30"/>
      <c r="H8" s="213" t="str">
        <f>IF(B8="","",IF(①基本データ入力!$D$13="","",①基本データ入力!$D$13))</f>
        <v/>
      </c>
      <c r="I8" s="162"/>
      <c r="J8" s="97"/>
      <c r="K8" s="97"/>
      <c r="L8" s="97"/>
      <c r="M8" s="98"/>
      <c r="N8" s="162"/>
      <c r="O8" s="99"/>
      <c r="P8" s="97"/>
      <c r="Q8" s="97"/>
      <c r="R8" s="98"/>
      <c r="S8" s="156" t="str">
        <f>IF(AF8="TRUE","種目1のタイム未入力です","")</f>
        <v/>
      </c>
      <c r="T8" s="156" t="str">
        <f>IF(AG8="TRUE","種目2のタイム未入力です","")</f>
        <v/>
      </c>
      <c r="U8" s="156" t="str">
        <f>IF(AH8=TRUE,"同種目です","")</f>
        <v/>
      </c>
      <c r="X8" s="39" t="str">
        <f t="shared" ref="X8:X32" si="0">A8&amp;I8&amp;J8</f>
        <v/>
      </c>
      <c r="Y8" s="38" t="str">
        <f t="shared" ref="Y8:Y32" si="1">A8&amp;N8&amp;O8</f>
        <v/>
      </c>
      <c r="Z8" s="1"/>
      <c r="AA8" t="str">
        <f>IF(①基本データ入力!$H$10=AZ$14,AZ16,AY16)</f>
        <v>男子50自由形</v>
      </c>
      <c r="AB8">
        <f>COUNTIF($X$8:$Y$32,AA8)</f>
        <v>0</v>
      </c>
      <c r="AE8" t="str">
        <f>IF(AB8&gt;=3,"TRUE","")</f>
        <v/>
      </c>
      <c r="AF8" t="str">
        <f t="shared" ref="AF8:AF32" si="2">IF(J8&lt;&gt;"",IF(L8="","TRUE",""),"")</f>
        <v/>
      </c>
      <c r="AG8" t="str">
        <f>IF(O8&lt;&gt;"",IF(Q8="","TRUE",""),"")</f>
        <v/>
      </c>
      <c r="AH8" t="str">
        <f>IF(AI8&lt;&gt;"",EXACT(AI8,AJ8),"")</f>
        <v/>
      </c>
      <c r="AI8" t="str">
        <f>TEXT(I8&amp;J8,"@")</f>
        <v/>
      </c>
      <c r="AJ8" t="str">
        <f>TEXT(N8&amp;O8,"@")</f>
        <v/>
      </c>
      <c r="AO8" s="153"/>
      <c r="AP8" s="153"/>
      <c r="AQ8" s="153"/>
      <c r="AR8" s="153" t="str">
        <f>IF(①基本データ入力!$H$10=$AO$16,IF(AR22&lt;&gt;"",AR22,""),AR31)</f>
        <v>個人メドレー</v>
      </c>
      <c r="AS8" s="153"/>
      <c r="AT8" s="153"/>
      <c r="AU8" s="153"/>
      <c r="AV8" s="153"/>
      <c r="AW8" s="153"/>
    </row>
    <row r="9" spans="1:52">
      <c r="A9" s="23"/>
      <c r="B9" s="126"/>
      <c r="C9" s="50"/>
      <c r="D9" s="24"/>
      <c r="E9" s="24"/>
      <c r="F9" s="24"/>
      <c r="G9" s="24"/>
      <c r="H9" s="213" t="str">
        <f>IF(B9="","",IF(①基本データ入力!$D$13="","",①基本データ入力!$D$13))</f>
        <v/>
      </c>
      <c r="I9" s="163"/>
      <c r="J9" s="24"/>
      <c r="K9" s="24"/>
      <c r="L9" s="24"/>
      <c r="M9" s="25"/>
      <c r="N9" s="163"/>
      <c r="O9" s="40"/>
      <c r="P9" s="24"/>
      <c r="Q9" s="24"/>
      <c r="R9" s="25"/>
      <c r="S9" s="156" t="str">
        <f t="shared" ref="S9:S32" si="3">IF(AF9="TRUE","種目1のタイム未入力です","")</f>
        <v/>
      </c>
      <c r="T9" s="156" t="str">
        <f t="shared" ref="T9:T32" si="4">IF(AG9="TRUE","種目2のタイム未入力です","")</f>
        <v/>
      </c>
      <c r="U9" s="156" t="str">
        <f t="shared" ref="U9:U32" si="5">IF(AH9=TRUE,"同種目です","")</f>
        <v/>
      </c>
      <c r="X9" s="39" t="str">
        <f t="shared" si="0"/>
        <v/>
      </c>
      <c r="Y9" s="38" t="str">
        <f t="shared" si="1"/>
        <v/>
      </c>
      <c r="Z9" s="1"/>
      <c r="AA9" t="str">
        <f>IF(①基本データ入力!$H$10=AZ$14,AZ17,AY17)</f>
        <v>女子50自由形</v>
      </c>
      <c r="AB9">
        <f t="shared" ref="AB9:AB33" si="6">COUNTIF($X$8:$Y$32,AA9)</f>
        <v>0</v>
      </c>
      <c r="AE9" t="str">
        <f t="shared" ref="AE9:AE32" si="7">IF(AB9&gt;=3,"TRUE","")</f>
        <v/>
      </c>
      <c r="AF9" t="str">
        <f t="shared" si="2"/>
        <v/>
      </c>
      <c r="AG9" t="str">
        <f t="shared" ref="AG9:AG32" si="8">IF(O9&lt;&gt;"",IF(Q9="","TRUE",""),"")</f>
        <v/>
      </c>
      <c r="AH9" t="str">
        <f t="shared" ref="AH9:AH32" si="9">IF(AI9&lt;&gt;"",EXACT(AI9,AJ9),"")</f>
        <v/>
      </c>
      <c r="AI9" t="str">
        <f t="shared" ref="AI9:AI32" si="10">TEXT(I9&amp;J9,"@")</f>
        <v/>
      </c>
      <c r="AJ9" t="str">
        <f t="shared" ref="AJ9:AJ32" si="11">TEXT(N9&amp;O9,"@")</f>
        <v/>
      </c>
      <c r="AO9" s="153"/>
      <c r="AP9" s="153"/>
      <c r="AQ9" s="153"/>
      <c r="AR9" s="153"/>
      <c r="AS9" s="153"/>
      <c r="AT9" s="153"/>
      <c r="AU9" s="153"/>
      <c r="AV9" s="153"/>
      <c r="AW9" s="153"/>
    </row>
    <row r="10" spans="1:52">
      <c r="A10" s="23"/>
      <c r="B10" s="126"/>
      <c r="C10" s="50"/>
      <c r="D10" s="24"/>
      <c r="E10" s="24"/>
      <c r="F10" s="24"/>
      <c r="G10" s="24"/>
      <c r="H10" s="213" t="str">
        <f>IF(B10="","",IF(①基本データ入力!$D$13="","",①基本データ入力!$D$13))</f>
        <v/>
      </c>
      <c r="I10" s="163"/>
      <c r="J10" s="24"/>
      <c r="K10" s="24"/>
      <c r="L10" s="24"/>
      <c r="M10" s="25"/>
      <c r="N10" s="163"/>
      <c r="O10" s="40"/>
      <c r="P10" s="24"/>
      <c r="Q10" s="24"/>
      <c r="R10" s="25"/>
      <c r="S10" s="156" t="str">
        <f t="shared" si="3"/>
        <v/>
      </c>
      <c r="T10" s="156" t="str">
        <f t="shared" si="4"/>
        <v/>
      </c>
      <c r="U10" s="156" t="str">
        <f t="shared" si="5"/>
        <v/>
      </c>
      <c r="X10" s="39" t="str">
        <f t="shared" si="0"/>
        <v/>
      </c>
      <c r="Y10" s="38" t="str">
        <f t="shared" si="1"/>
        <v/>
      </c>
      <c r="Z10" s="1"/>
      <c r="AA10" t="str">
        <f>IF(①基本データ入力!$H$10=AZ$14,AZ18,AY18)</f>
        <v>男子100自由形</v>
      </c>
      <c r="AB10">
        <f t="shared" si="6"/>
        <v>0</v>
      </c>
      <c r="AE10" t="str">
        <f t="shared" si="7"/>
        <v/>
      </c>
      <c r="AF10" t="str">
        <f t="shared" si="2"/>
        <v/>
      </c>
      <c r="AG10" t="str">
        <f t="shared" si="8"/>
        <v/>
      </c>
      <c r="AH10" t="str">
        <f t="shared" si="9"/>
        <v/>
      </c>
      <c r="AI10" t="str">
        <f t="shared" si="10"/>
        <v/>
      </c>
      <c r="AJ10" t="str">
        <f t="shared" si="11"/>
        <v/>
      </c>
      <c r="AO10" s="153"/>
      <c r="AP10" s="153"/>
      <c r="AQ10" s="153"/>
      <c r="AR10" s="153"/>
      <c r="AS10" s="153"/>
      <c r="AT10" s="153"/>
      <c r="AU10" s="153"/>
      <c r="AV10" s="153"/>
      <c r="AW10" s="153"/>
    </row>
    <row r="11" spans="1:52">
      <c r="A11" s="23"/>
      <c r="B11" s="126"/>
      <c r="C11" s="50"/>
      <c r="D11" s="24"/>
      <c r="E11" s="24"/>
      <c r="F11" s="24"/>
      <c r="G11" s="24"/>
      <c r="H11" s="213" t="str">
        <f>IF(B11="","",IF(①基本データ入力!$D$13="","",①基本データ入力!$D$13))</f>
        <v/>
      </c>
      <c r="I11" s="163"/>
      <c r="J11" s="24"/>
      <c r="K11" s="24"/>
      <c r="L11" s="24"/>
      <c r="M11" s="25"/>
      <c r="N11" s="163"/>
      <c r="O11" s="40"/>
      <c r="P11" s="24"/>
      <c r="Q11" s="24"/>
      <c r="R11" s="25"/>
      <c r="S11" s="156" t="str">
        <f t="shared" si="3"/>
        <v/>
      </c>
      <c r="T11" s="156" t="str">
        <f t="shared" si="4"/>
        <v/>
      </c>
      <c r="U11" s="156" t="str">
        <f t="shared" si="5"/>
        <v/>
      </c>
      <c r="X11" s="39" t="str">
        <f t="shared" si="0"/>
        <v/>
      </c>
      <c r="Y11" s="38" t="str">
        <f t="shared" si="1"/>
        <v/>
      </c>
      <c r="Z11" s="1"/>
      <c r="AA11" t="str">
        <f>IF(①基本データ入力!$H$10=AZ$14,AZ19,AY19)</f>
        <v>女子100自由形</v>
      </c>
      <c r="AB11">
        <f t="shared" si="6"/>
        <v>0</v>
      </c>
      <c r="AE11" t="str">
        <f t="shared" si="7"/>
        <v/>
      </c>
      <c r="AF11" t="str">
        <f t="shared" si="2"/>
        <v/>
      </c>
      <c r="AG11" t="str">
        <f t="shared" si="8"/>
        <v/>
      </c>
      <c r="AH11" t="str">
        <f t="shared" si="9"/>
        <v/>
      </c>
      <c r="AI11" t="str">
        <f t="shared" si="10"/>
        <v/>
      </c>
      <c r="AJ11" t="str">
        <f t="shared" si="11"/>
        <v/>
      </c>
      <c r="AO11" s="153"/>
      <c r="AP11" s="153"/>
      <c r="AQ11" s="153"/>
      <c r="AR11" s="153"/>
      <c r="AS11" s="153"/>
      <c r="AT11" s="153"/>
      <c r="AU11" s="153"/>
      <c r="AV11" s="153"/>
      <c r="AW11" s="153"/>
    </row>
    <row r="12" spans="1:52">
      <c r="A12" s="23"/>
      <c r="B12" s="126"/>
      <c r="C12" s="50"/>
      <c r="D12" s="24"/>
      <c r="E12" s="24"/>
      <c r="F12" s="24"/>
      <c r="G12" s="24"/>
      <c r="H12" s="213" t="str">
        <f>IF(B12="","",IF(①基本データ入力!$D$13="","",①基本データ入力!$D$13))</f>
        <v/>
      </c>
      <c r="I12" s="163"/>
      <c r="J12" s="24"/>
      <c r="K12" s="24"/>
      <c r="L12" s="24"/>
      <c r="M12" s="25"/>
      <c r="N12" s="163"/>
      <c r="O12" s="40"/>
      <c r="P12" s="24"/>
      <c r="Q12" s="24"/>
      <c r="R12" s="25"/>
      <c r="S12" s="156" t="str">
        <f t="shared" si="3"/>
        <v/>
      </c>
      <c r="T12" s="156" t="str">
        <f t="shared" si="4"/>
        <v/>
      </c>
      <c r="U12" s="156" t="str">
        <f t="shared" si="5"/>
        <v/>
      </c>
      <c r="X12" s="39" t="str">
        <f t="shared" si="0"/>
        <v/>
      </c>
      <c r="Y12" s="38" t="str">
        <f t="shared" si="1"/>
        <v/>
      </c>
      <c r="Z12" s="1"/>
      <c r="AA12" t="str">
        <f>IF(①基本データ入力!$H$10=AZ$14,AZ20,AY20)</f>
        <v>男子100平泳ぎ</v>
      </c>
      <c r="AB12">
        <f t="shared" si="6"/>
        <v>0</v>
      </c>
      <c r="AE12" t="str">
        <f t="shared" si="7"/>
        <v/>
      </c>
      <c r="AF12" t="str">
        <f t="shared" si="2"/>
        <v/>
      </c>
      <c r="AG12" t="str">
        <f t="shared" si="8"/>
        <v/>
      </c>
      <c r="AH12" t="str">
        <f t="shared" si="9"/>
        <v/>
      </c>
      <c r="AI12" t="str">
        <f t="shared" si="10"/>
        <v/>
      </c>
      <c r="AJ12" t="str">
        <f t="shared" si="11"/>
        <v/>
      </c>
      <c r="AO12" s="153"/>
      <c r="AP12" s="153"/>
      <c r="AQ12" s="153"/>
      <c r="AR12" s="153"/>
      <c r="AS12" s="153"/>
      <c r="AT12" s="153"/>
      <c r="AU12" s="153"/>
      <c r="AV12" s="153"/>
      <c r="AW12" s="153"/>
    </row>
    <row r="13" spans="1:52">
      <c r="A13" s="23"/>
      <c r="B13" s="126"/>
      <c r="C13" s="50"/>
      <c r="D13" s="24"/>
      <c r="E13" s="24"/>
      <c r="F13" s="24"/>
      <c r="G13" s="24"/>
      <c r="H13" s="213" t="str">
        <f>IF(B13="","",IF(①基本データ入力!$D$13="","",①基本データ入力!$D$13))</f>
        <v/>
      </c>
      <c r="I13" s="163"/>
      <c r="J13" s="24"/>
      <c r="K13" s="24"/>
      <c r="L13" s="24"/>
      <c r="M13" s="25"/>
      <c r="N13" s="163"/>
      <c r="O13" s="40"/>
      <c r="P13" s="24"/>
      <c r="Q13" s="24"/>
      <c r="R13" s="25"/>
      <c r="S13" s="156" t="str">
        <f t="shared" si="3"/>
        <v/>
      </c>
      <c r="T13" s="156" t="str">
        <f t="shared" si="4"/>
        <v/>
      </c>
      <c r="U13" s="156" t="str">
        <f t="shared" si="5"/>
        <v/>
      </c>
      <c r="X13" s="39" t="str">
        <f t="shared" si="0"/>
        <v/>
      </c>
      <c r="Y13" s="38" t="str">
        <f t="shared" si="1"/>
        <v/>
      </c>
      <c r="Z13" s="1"/>
      <c r="AA13" t="str">
        <f>IF(①基本データ入力!$H$10=AZ$14,AZ21,AY21)</f>
        <v>女子100平泳ぎ</v>
      </c>
      <c r="AB13">
        <f t="shared" si="6"/>
        <v>0</v>
      </c>
      <c r="AE13" t="str">
        <f t="shared" si="7"/>
        <v/>
      </c>
      <c r="AF13" t="str">
        <f t="shared" si="2"/>
        <v/>
      </c>
      <c r="AG13" t="str">
        <f t="shared" si="8"/>
        <v/>
      </c>
      <c r="AH13" t="str">
        <f t="shared" si="9"/>
        <v/>
      </c>
      <c r="AI13" t="str">
        <f t="shared" si="10"/>
        <v/>
      </c>
      <c r="AJ13" t="str">
        <f t="shared" si="11"/>
        <v/>
      </c>
      <c r="AO13" s="153"/>
      <c r="AP13" s="153"/>
      <c r="AQ13" s="153"/>
      <c r="AR13" s="153"/>
      <c r="AS13" s="153"/>
      <c r="AT13" s="153"/>
      <c r="AU13" s="153"/>
      <c r="AV13" s="153"/>
      <c r="AW13" s="153"/>
    </row>
    <row r="14" spans="1:52">
      <c r="A14" s="23"/>
      <c r="B14" s="126"/>
      <c r="C14" s="50"/>
      <c r="D14" s="24"/>
      <c r="E14" s="24"/>
      <c r="F14" s="24"/>
      <c r="G14" s="24"/>
      <c r="H14" s="213" t="str">
        <f>IF(B14="","",IF(①基本データ入力!$D$13="","",①基本データ入力!$D$13))</f>
        <v/>
      </c>
      <c r="I14" s="163"/>
      <c r="J14" s="24"/>
      <c r="K14" s="24"/>
      <c r="L14" s="24"/>
      <c r="M14" s="25"/>
      <c r="N14" s="163"/>
      <c r="O14" s="40"/>
      <c r="P14" s="24"/>
      <c r="Q14" s="24"/>
      <c r="R14" s="25"/>
      <c r="S14" s="156" t="str">
        <f t="shared" si="3"/>
        <v/>
      </c>
      <c r="T14" s="156" t="str">
        <f t="shared" si="4"/>
        <v/>
      </c>
      <c r="U14" s="156" t="str">
        <f t="shared" si="5"/>
        <v/>
      </c>
      <c r="X14" s="39" t="str">
        <f t="shared" si="0"/>
        <v/>
      </c>
      <c r="Y14" s="38" t="str">
        <f t="shared" si="1"/>
        <v/>
      </c>
      <c r="Z14" s="1"/>
      <c r="AA14" t="str">
        <f>IF(①基本データ入力!$H$10=AZ$14,AZ22,AY22)</f>
        <v>男子100バタフライ</v>
      </c>
      <c r="AB14">
        <f t="shared" si="6"/>
        <v>0</v>
      </c>
      <c r="AE14" t="str">
        <f t="shared" si="7"/>
        <v/>
      </c>
      <c r="AF14" t="str">
        <f t="shared" si="2"/>
        <v/>
      </c>
      <c r="AG14" t="str">
        <f t="shared" si="8"/>
        <v/>
      </c>
      <c r="AH14" t="str">
        <f t="shared" si="9"/>
        <v/>
      </c>
      <c r="AI14" t="str">
        <f t="shared" si="10"/>
        <v/>
      </c>
      <c r="AJ14" t="str">
        <f t="shared" si="11"/>
        <v/>
      </c>
      <c r="AO14" s="153"/>
      <c r="AP14" s="153"/>
      <c r="AQ14" s="153"/>
      <c r="AR14" s="153"/>
      <c r="AS14" s="153"/>
      <c r="AT14" s="153"/>
      <c r="AU14" s="153"/>
      <c r="AV14" s="153"/>
      <c r="AW14" s="153"/>
      <c r="AY14" t="s">
        <v>416</v>
      </c>
      <c r="AZ14" t="s">
        <v>409</v>
      </c>
    </row>
    <row r="15" spans="1:52">
      <c r="A15" s="23"/>
      <c r="B15" s="126"/>
      <c r="C15" s="50"/>
      <c r="D15" s="24"/>
      <c r="E15" s="24"/>
      <c r="F15" s="24"/>
      <c r="G15" s="24"/>
      <c r="H15" s="213" t="str">
        <f>IF(B15="","",IF(①基本データ入力!$D$13="","",①基本データ入力!$D$13))</f>
        <v/>
      </c>
      <c r="I15" s="163"/>
      <c r="J15" s="24"/>
      <c r="K15" s="24"/>
      <c r="L15" s="24"/>
      <c r="M15" s="25"/>
      <c r="N15" s="163"/>
      <c r="O15" s="40"/>
      <c r="P15" s="24"/>
      <c r="Q15" s="24"/>
      <c r="R15" s="25"/>
      <c r="S15" s="156" t="str">
        <f t="shared" si="3"/>
        <v/>
      </c>
      <c r="T15" s="156" t="str">
        <f t="shared" si="4"/>
        <v/>
      </c>
      <c r="U15" s="156" t="str">
        <f t="shared" si="5"/>
        <v/>
      </c>
      <c r="X15" s="39" t="str">
        <f t="shared" si="0"/>
        <v/>
      </c>
      <c r="Y15" s="38" t="str">
        <f t="shared" si="1"/>
        <v/>
      </c>
      <c r="Z15" s="1"/>
      <c r="AA15" t="str">
        <f>IF(①基本データ入力!$H$10=AZ$14,AZ23,AY23)</f>
        <v>女子100バタフライ</v>
      </c>
      <c r="AB15">
        <f t="shared" si="6"/>
        <v>0</v>
      </c>
      <c r="AE15" t="str">
        <f t="shared" si="7"/>
        <v/>
      </c>
      <c r="AF15" t="str">
        <f t="shared" si="2"/>
        <v/>
      </c>
      <c r="AG15" t="str">
        <f t="shared" si="8"/>
        <v/>
      </c>
      <c r="AH15" t="str">
        <f t="shared" si="9"/>
        <v/>
      </c>
      <c r="AI15" t="str">
        <f t="shared" si="10"/>
        <v/>
      </c>
      <c r="AJ15" t="str">
        <f t="shared" si="11"/>
        <v/>
      </c>
      <c r="AO15" s="153"/>
      <c r="AP15" s="153"/>
      <c r="AQ15" s="153"/>
      <c r="AR15" s="153"/>
      <c r="AS15" s="153"/>
      <c r="AT15" s="153"/>
      <c r="AU15" s="153"/>
      <c r="AV15" s="153"/>
      <c r="AW15" s="153"/>
    </row>
    <row r="16" spans="1:52">
      <c r="A16" s="23"/>
      <c r="B16" s="126"/>
      <c r="C16" s="50"/>
      <c r="D16" s="24"/>
      <c r="E16" s="24"/>
      <c r="F16" s="24"/>
      <c r="G16" s="24"/>
      <c r="H16" s="213" t="str">
        <f>IF(B16="","",IF(①基本データ入力!$D$13="","",①基本データ入力!$D$13))</f>
        <v/>
      </c>
      <c r="I16" s="163"/>
      <c r="J16" s="24"/>
      <c r="K16" s="24"/>
      <c r="L16" s="24"/>
      <c r="M16" s="25"/>
      <c r="N16" s="163"/>
      <c r="O16" s="40"/>
      <c r="P16" s="24"/>
      <c r="Q16" s="24"/>
      <c r="R16" s="25"/>
      <c r="S16" s="156" t="str">
        <f t="shared" si="3"/>
        <v/>
      </c>
      <c r="T16" s="156" t="str">
        <f t="shared" si="4"/>
        <v/>
      </c>
      <c r="U16" s="156" t="str">
        <f t="shared" si="5"/>
        <v/>
      </c>
      <c r="X16" s="39" t="str">
        <f t="shared" si="0"/>
        <v/>
      </c>
      <c r="Y16" s="38" t="str">
        <f t="shared" si="1"/>
        <v/>
      </c>
      <c r="Z16" s="1"/>
      <c r="AA16" t="str">
        <f>IF(①基本データ入力!$H$10=AZ$14,AZ24,AY24)</f>
        <v>男子100背泳ぎ</v>
      </c>
      <c r="AB16">
        <f t="shared" si="6"/>
        <v>0</v>
      </c>
      <c r="AE16" t="str">
        <f t="shared" si="7"/>
        <v/>
      </c>
      <c r="AF16" t="str">
        <f t="shared" si="2"/>
        <v/>
      </c>
      <c r="AG16" t="str">
        <f t="shared" si="8"/>
        <v/>
      </c>
      <c r="AH16" t="str">
        <f t="shared" si="9"/>
        <v/>
      </c>
      <c r="AI16" t="str">
        <f t="shared" si="10"/>
        <v/>
      </c>
      <c r="AJ16" t="str">
        <f t="shared" si="11"/>
        <v/>
      </c>
      <c r="AO16" s="153" t="s">
        <v>368</v>
      </c>
      <c r="AP16" s="263" t="s">
        <v>357</v>
      </c>
      <c r="AQ16" s="263"/>
      <c r="AR16" s="263"/>
      <c r="AS16" s="263"/>
      <c r="AT16" s="263" t="s">
        <v>358</v>
      </c>
      <c r="AU16" s="263"/>
      <c r="AV16" s="263"/>
      <c r="AW16" s="263"/>
      <c r="AY16" t="s">
        <v>388</v>
      </c>
      <c r="AZ16" t="s">
        <v>388</v>
      </c>
    </row>
    <row r="17" spans="1:52">
      <c r="A17" s="23"/>
      <c r="B17" s="126"/>
      <c r="C17" s="50"/>
      <c r="D17" s="24"/>
      <c r="E17" s="24"/>
      <c r="F17" s="24"/>
      <c r="G17" s="24"/>
      <c r="H17" s="213" t="str">
        <f>IF(B17="","",IF(①基本データ入力!$D$13="","",①基本データ入力!$D$13))</f>
        <v/>
      </c>
      <c r="I17" s="163"/>
      <c r="J17" s="24"/>
      <c r="K17" s="24"/>
      <c r="L17" s="24"/>
      <c r="M17" s="25"/>
      <c r="N17" s="163"/>
      <c r="O17" s="40"/>
      <c r="P17" s="24"/>
      <c r="Q17" s="24"/>
      <c r="R17" s="25"/>
      <c r="S17" s="156" t="str">
        <f t="shared" si="3"/>
        <v/>
      </c>
      <c r="T17" s="156" t="str">
        <f t="shared" si="4"/>
        <v/>
      </c>
      <c r="U17" s="156" t="str">
        <f t="shared" si="5"/>
        <v/>
      </c>
      <c r="X17" s="39" t="str">
        <f t="shared" si="0"/>
        <v/>
      </c>
      <c r="Y17" s="38" t="str">
        <f t="shared" si="1"/>
        <v/>
      </c>
      <c r="Z17" s="1"/>
      <c r="AA17" t="str">
        <f>IF(①基本データ入力!$H$10=AZ$14,AZ25,AY25)</f>
        <v>女子100背泳ぎ</v>
      </c>
      <c r="AB17">
        <f t="shared" si="6"/>
        <v>0</v>
      </c>
      <c r="AE17" t="str">
        <f t="shared" si="7"/>
        <v/>
      </c>
      <c r="AF17" t="str">
        <f t="shared" si="2"/>
        <v/>
      </c>
      <c r="AG17" t="str">
        <f t="shared" si="8"/>
        <v/>
      </c>
      <c r="AH17" t="str">
        <f t="shared" si="9"/>
        <v/>
      </c>
      <c r="AI17" t="str">
        <f t="shared" si="10"/>
        <v/>
      </c>
      <c r="AJ17" t="str">
        <f t="shared" si="11"/>
        <v/>
      </c>
      <c r="AO17" s="153"/>
      <c r="AP17" s="153">
        <v>50</v>
      </c>
      <c r="AQ17" s="153">
        <v>100</v>
      </c>
      <c r="AR17" s="153">
        <v>200</v>
      </c>
      <c r="AS17" s="153">
        <v>400</v>
      </c>
      <c r="AT17" s="153">
        <v>50</v>
      </c>
      <c r="AU17" s="153">
        <v>100</v>
      </c>
      <c r="AV17" s="153">
        <v>200</v>
      </c>
      <c r="AW17" s="153">
        <v>400</v>
      </c>
      <c r="AY17" t="s">
        <v>408</v>
      </c>
      <c r="AZ17" t="s">
        <v>408</v>
      </c>
    </row>
    <row r="18" spans="1:52">
      <c r="A18" s="23"/>
      <c r="B18" s="126"/>
      <c r="C18" s="50"/>
      <c r="D18" s="24"/>
      <c r="E18" s="24"/>
      <c r="F18" s="24"/>
      <c r="G18" s="24"/>
      <c r="H18" s="213" t="str">
        <f>IF(B18="","",IF(①基本データ入力!$D$13="","",①基本データ入力!$D$13))</f>
        <v/>
      </c>
      <c r="I18" s="163"/>
      <c r="J18" s="24"/>
      <c r="K18" s="24"/>
      <c r="L18" s="24"/>
      <c r="M18" s="25"/>
      <c r="N18" s="163"/>
      <c r="O18" s="40"/>
      <c r="P18" s="24"/>
      <c r="Q18" s="24"/>
      <c r="R18" s="25"/>
      <c r="S18" s="156" t="str">
        <f t="shared" si="3"/>
        <v/>
      </c>
      <c r="T18" s="156" t="str">
        <f t="shared" si="4"/>
        <v/>
      </c>
      <c r="U18" s="156" t="str">
        <f t="shared" si="5"/>
        <v/>
      </c>
      <c r="X18" s="39" t="str">
        <f t="shared" si="0"/>
        <v/>
      </c>
      <c r="Y18" s="38" t="str">
        <f t="shared" si="1"/>
        <v/>
      </c>
      <c r="Z18" s="1"/>
      <c r="AA18" t="str">
        <f>IF(①基本データ入力!$H$10=AZ$14,AZ26,AY26)</f>
        <v>男子200自由形</v>
      </c>
      <c r="AB18">
        <f t="shared" si="6"/>
        <v>0</v>
      </c>
      <c r="AE18" t="str">
        <f t="shared" si="7"/>
        <v/>
      </c>
      <c r="AF18" t="str">
        <f t="shared" si="2"/>
        <v/>
      </c>
      <c r="AG18" t="str">
        <f t="shared" si="8"/>
        <v/>
      </c>
      <c r="AH18" t="str">
        <f t="shared" si="9"/>
        <v/>
      </c>
      <c r="AI18" t="str">
        <f t="shared" si="10"/>
        <v/>
      </c>
      <c r="AJ18" t="str">
        <f t="shared" si="11"/>
        <v/>
      </c>
      <c r="AO18" s="153"/>
      <c r="AP18" s="153" t="s">
        <v>360</v>
      </c>
      <c r="AQ18" s="153" t="s">
        <v>360</v>
      </c>
      <c r="AR18" s="153" t="s">
        <v>360</v>
      </c>
      <c r="AS18" s="153" t="s">
        <v>360</v>
      </c>
      <c r="AT18" s="153" t="s">
        <v>360</v>
      </c>
      <c r="AU18" s="153" t="s">
        <v>360</v>
      </c>
      <c r="AV18" s="153" t="s">
        <v>360</v>
      </c>
      <c r="AW18" s="153" t="s">
        <v>360</v>
      </c>
      <c r="AY18" t="s">
        <v>389</v>
      </c>
      <c r="AZ18" t="s">
        <v>410</v>
      </c>
    </row>
    <row r="19" spans="1:52">
      <c r="A19" s="23"/>
      <c r="B19" s="126"/>
      <c r="C19" s="50"/>
      <c r="D19" s="24"/>
      <c r="E19" s="24"/>
      <c r="F19" s="24"/>
      <c r="G19" s="24"/>
      <c r="H19" s="213" t="str">
        <f>IF(B19="","",IF(①基本データ入力!$D$13="","",①基本データ入力!$D$13))</f>
        <v/>
      </c>
      <c r="I19" s="163"/>
      <c r="J19" s="24"/>
      <c r="K19" s="24"/>
      <c r="L19" s="24"/>
      <c r="M19" s="25"/>
      <c r="N19" s="163"/>
      <c r="O19" s="40"/>
      <c r="P19" s="24"/>
      <c r="Q19" s="24"/>
      <c r="R19" s="25"/>
      <c r="S19" s="156" t="str">
        <f t="shared" si="3"/>
        <v/>
      </c>
      <c r="T19" s="156" t="str">
        <f t="shared" si="4"/>
        <v/>
      </c>
      <c r="U19" s="156" t="str">
        <f t="shared" si="5"/>
        <v/>
      </c>
      <c r="X19" s="39" t="str">
        <f t="shared" si="0"/>
        <v/>
      </c>
      <c r="Y19" s="38" t="str">
        <f t="shared" si="1"/>
        <v/>
      </c>
      <c r="Z19" s="1"/>
      <c r="AA19" t="str">
        <f>IF(①基本データ入力!$H$10=AZ$14,AZ27,AY27)</f>
        <v>女子200自由形</v>
      </c>
      <c r="AB19">
        <f t="shared" si="6"/>
        <v>0</v>
      </c>
      <c r="AE19" t="str">
        <f t="shared" si="7"/>
        <v/>
      </c>
      <c r="AF19" t="str">
        <f t="shared" si="2"/>
        <v/>
      </c>
      <c r="AG19" t="str">
        <f t="shared" si="8"/>
        <v/>
      </c>
      <c r="AH19" t="str">
        <f t="shared" si="9"/>
        <v/>
      </c>
      <c r="AI19" t="str">
        <f t="shared" si="10"/>
        <v/>
      </c>
      <c r="AJ19" t="str">
        <f t="shared" si="11"/>
        <v/>
      </c>
      <c r="AO19" s="153"/>
      <c r="AP19" s="153"/>
      <c r="AQ19" s="153" t="s">
        <v>361</v>
      </c>
      <c r="AR19" s="153" t="s">
        <v>361</v>
      </c>
      <c r="AS19" s="153"/>
      <c r="AT19" s="153"/>
      <c r="AU19" s="153" t="s">
        <v>361</v>
      </c>
      <c r="AV19" s="153" t="s">
        <v>361</v>
      </c>
      <c r="AW19" s="153"/>
      <c r="AY19" t="s">
        <v>390</v>
      </c>
      <c r="AZ19" t="s">
        <v>411</v>
      </c>
    </row>
    <row r="20" spans="1:52">
      <c r="A20" s="23"/>
      <c r="B20" s="126"/>
      <c r="C20" s="50"/>
      <c r="D20" s="24"/>
      <c r="E20" s="24"/>
      <c r="F20" s="24"/>
      <c r="G20" s="24"/>
      <c r="H20" s="213" t="str">
        <f>IF(B20="","",IF(①基本データ入力!$D$13="","",①基本データ入力!$D$13))</f>
        <v/>
      </c>
      <c r="I20" s="163"/>
      <c r="J20" s="24"/>
      <c r="K20" s="24"/>
      <c r="L20" s="24"/>
      <c r="M20" s="25"/>
      <c r="N20" s="163"/>
      <c r="O20" s="40"/>
      <c r="P20" s="24"/>
      <c r="Q20" s="24"/>
      <c r="R20" s="25"/>
      <c r="S20" s="156" t="str">
        <f t="shared" si="3"/>
        <v/>
      </c>
      <c r="T20" s="156" t="str">
        <f t="shared" si="4"/>
        <v/>
      </c>
      <c r="U20" s="156" t="str">
        <f t="shared" si="5"/>
        <v/>
      </c>
      <c r="X20" s="39" t="str">
        <f t="shared" si="0"/>
        <v/>
      </c>
      <c r="Y20" s="38" t="str">
        <f t="shared" si="1"/>
        <v/>
      </c>
      <c r="Z20" s="1"/>
      <c r="AA20" t="str">
        <f>IF(①基本データ入力!$H$10=AZ$14,AZ28,AY28)</f>
        <v>男子200平泳ぎ</v>
      </c>
      <c r="AB20">
        <f t="shared" si="6"/>
        <v>0</v>
      </c>
      <c r="AE20" t="str">
        <f t="shared" si="7"/>
        <v/>
      </c>
      <c r="AF20" t="str">
        <f t="shared" si="2"/>
        <v/>
      </c>
      <c r="AG20" t="str">
        <f t="shared" si="8"/>
        <v/>
      </c>
      <c r="AH20" t="str">
        <f t="shared" si="9"/>
        <v/>
      </c>
      <c r="AI20" t="str">
        <f t="shared" si="10"/>
        <v/>
      </c>
      <c r="AJ20" t="str">
        <f t="shared" si="11"/>
        <v/>
      </c>
      <c r="AO20" s="153"/>
      <c r="AP20" s="153"/>
      <c r="AQ20" s="153" t="s">
        <v>364</v>
      </c>
      <c r="AR20" s="153" t="s">
        <v>364</v>
      </c>
      <c r="AS20" s="153"/>
      <c r="AT20" s="153"/>
      <c r="AU20" s="153" t="s">
        <v>364</v>
      </c>
      <c r="AV20" s="153" t="s">
        <v>362</v>
      </c>
      <c r="AW20" s="153"/>
      <c r="AY20" t="s">
        <v>391</v>
      </c>
      <c r="AZ20" t="s">
        <v>412</v>
      </c>
    </row>
    <row r="21" spans="1:52">
      <c r="A21" s="23"/>
      <c r="B21" s="126"/>
      <c r="C21" s="50"/>
      <c r="D21" s="24"/>
      <c r="E21" s="24"/>
      <c r="F21" s="24"/>
      <c r="G21" s="24"/>
      <c r="H21" s="213" t="str">
        <f>IF(B21="","",IF(①基本データ入力!$D$13="","",①基本データ入力!$D$13))</f>
        <v/>
      </c>
      <c r="I21" s="163"/>
      <c r="J21" s="24"/>
      <c r="K21" s="24"/>
      <c r="L21" s="24"/>
      <c r="M21" s="25"/>
      <c r="N21" s="163"/>
      <c r="O21" s="40"/>
      <c r="P21" s="24"/>
      <c r="Q21" s="24"/>
      <c r="R21" s="25"/>
      <c r="S21" s="156" t="str">
        <f t="shared" si="3"/>
        <v/>
      </c>
      <c r="T21" s="156" t="str">
        <f t="shared" si="4"/>
        <v/>
      </c>
      <c r="U21" s="156" t="str">
        <f t="shared" si="5"/>
        <v/>
      </c>
      <c r="X21" s="39" t="str">
        <f t="shared" si="0"/>
        <v/>
      </c>
      <c r="Y21" s="38" t="str">
        <f t="shared" si="1"/>
        <v/>
      </c>
      <c r="Z21" s="1"/>
      <c r="AA21" t="str">
        <f>IF(①基本データ入力!$H$10=AZ$14,AZ29,AY29)</f>
        <v>女子200平泳ぎ</v>
      </c>
      <c r="AB21">
        <f t="shared" si="6"/>
        <v>0</v>
      </c>
      <c r="AE21" t="str">
        <f t="shared" si="7"/>
        <v/>
      </c>
      <c r="AF21" t="str">
        <f t="shared" si="2"/>
        <v/>
      </c>
      <c r="AG21" t="str">
        <f t="shared" si="8"/>
        <v/>
      </c>
      <c r="AH21" t="str">
        <f t="shared" si="9"/>
        <v/>
      </c>
      <c r="AI21" t="str">
        <f t="shared" si="10"/>
        <v/>
      </c>
      <c r="AJ21" t="str">
        <f t="shared" si="11"/>
        <v/>
      </c>
      <c r="AO21" s="153"/>
      <c r="AP21" s="153"/>
      <c r="AQ21" s="153" t="s">
        <v>362</v>
      </c>
      <c r="AR21" s="153" t="s">
        <v>362</v>
      </c>
      <c r="AS21" s="153"/>
      <c r="AT21" s="153"/>
      <c r="AU21" s="153" t="s">
        <v>362</v>
      </c>
      <c r="AV21" s="153" t="s">
        <v>366</v>
      </c>
      <c r="AW21" s="153"/>
      <c r="AY21" t="s">
        <v>392</v>
      </c>
      <c r="AZ21" t="s">
        <v>413</v>
      </c>
    </row>
    <row r="22" spans="1:52">
      <c r="A22" s="23"/>
      <c r="B22" s="126"/>
      <c r="C22" s="50"/>
      <c r="D22" s="24"/>
      <c r="E22" s="24"/>
      <c r="F22" s="24"/>
      <c r="G22" s="24"/>
      <c r="H22" s="213" t="str">
        <f>IF(B22="","",IF(①基本データ入力!$D$13="","",①基本データ入力!$D$13))</f>
        <v/>
      </c>
      <c r="I22" s="163"/>
      <c r="J22" s="24"/>
      <c r="K22" s="24"/>
      <c r="L22" s="24"/>
      <c r="M22" s="25"/>
      <c r="N22" s="163"/>
      <c r="O22" s="40"/>
      <c r="P22" s="24"/>
      <c r="Q22" s="24"/>
      <c r="R22" s="25"/>
      <c r="S22" s="156" t="str">
        <f t="shared" si="3"/>
        <v/>
      </c>
      <c r="T22" s="156" t="str">
        <f t="shared" si="4"/>
        <v/>
      </c>
      <c r="U22" s="156" t="str">
        <f t="shared" si="5"/>
        <v/>
      </c>
      <c r="X22" s="39" t="str">
        <f t="shared" si="0"/>
        <v/>
      </c>
      <c r="Y22" s="38" t="str">
        <f t="shared" si="1"/>
        <v/>
      </c>
      <c r="Z22" s="1"/>
      <c r="AA22" t="str">
        <f>IF(①基本データ入力!$H$10=AZ$14,AZ30,AY30)</f>
        <v>男子200バタフライ</v>
      </c>
      <c r="AB22">
        <f t="shared" si="6"/>
        <v>0</v>
      </c>
      <c r="AE22" t="str">
        <f t="shared" si="7"/>
        <v/>
      </c>
      <c r="AF22" t="str">
        <f t="shared" si="2"/>
        <v/>
      </c>
      <c r="AG22" t="str">
        <f t="shared" si="8"/>
        <v/>
      </c>
      <c r="AH22" t="str">
        <f t="shared" si="9"/>
        <v/>
      </c>
      <c r="AI22" t="str">
        <f t="shared" si="10"/>
        <v/>
      </c>
      <c r="AJ22" t="str">
        <f t="shared" si="11"/>
        <v/>
      </c>
      <c r="AO22" s="153"/>
      <c r="AP22" s="153"/>
      <c r="AQ22" s="153"/>
      <c r="AR22" s="153" t="s">
        <v>366</v>
      </c>
      <c r="AS22" s="153"/>
      <c r="AT22" s="153"/>
      <c r="AU22" s="153"/>
      <c r="AV22" s="153"/>
      <c r="AW22" s="153"/>
      <c r="AY22" t="s">
        <v>393</v>
      </c>
      <c r="AZ22" t="s">
        <v>414</v>
      </c>
    </row>
    <row r="23" spans="1:52">
      <c r="A23" s="23"/>
      <c r="B23" s="126"/>
      <c r="C23" s="50"/>
      <c r="D23" s="24"/>
      <c r="E23" s="24"/>
      <c r="F23" s="24"/>
      <c r="G23" s="24"/>
      <c r="H23" s="213" t="str">
        <f>IF(B23="","",IF(①基本データ入力!$D$13="","",①基本データ入力!$D$13))</f>
        <v/>
      </c>
      <c r="I23" s="163"/>
      <c r="J23" s="24"/>
      <c r="K23" s="24"/>
      <c r="L23" s="24"/>
      <c r="M23" s="25"/>
      <c r="N23" s="163"/>
      <c r="O23" s="40"/>
      <c r="P23" s="24"/>
      <c r="Q23" s="24"/>
      <c r="R23" s="25"/>
      <c r="S23" s="156" t="str">
        <f t="shared" si="3"/>
        <v/>
      </c>
      <c r="T23" s="156" t="str">
        <f t="shared" si="4"/>
        <v/>
      </c>
      <c r="U23" s="156" t="str">
        <f t="shared" si="5"/>
        <v/>
      </c>
      <c r="X23" s="39" t="str">
        <f t="shared" si="0"/>
        <v/>
      </c>
      <c r="Y23" s="38" t="str">
        <f t="shared" si="1"/>
        <v/>
      </c>
      <c r="Z23" s="1"/>
      <c r="AA23" t="str">
        <f>IF(①基本データ入力!$H$10=AZ$14,AZ31,AY31)</f>
        <v>男子200背泳ぎ</v>
      </c>
      <c r="AB23">
        <f t="shared" si="6"/>
        <v>0</v>
      </c>
      <c r="AE23" t="str">
        <f t="shared" si="7"/>
        <v/>
      </c>
      <c r="AF23" t="str">
        <f t="shared" si="2"/>
        <v/>
      </c>
      <c r="AG23" t="str">
        <f t="shared" si="8"/>
        <v/>
      </c>
      <c r="AH23" t="str">
        <f t="shared" si="9"/>
        <v/>
      </c>
      <c r="AI23" t="str">
        <f t="shared" si="10"/>
        <v/>
      </c>
      <c r="AJ23" t="str">
        <f t="shared" si="11"/>
        <v/>
      </c>
      <c r="AO23" s="153"/>
      <c r="AP23" s="153"/>
      <c r="AQ23" s="153"/>
      <c r="AR23" s="153"/>
      <c r="AS23" s="153"/>
      <c r="AT23" s="153"/>
      <c r="AU23" s="153"/>
      <c r="AV23" s="153"/>
      <c r="AW23" s="153"/>
      <c r="AY23" t="s">
        <v>394</v>
      </c>
      <c r="AZ23" t="s">
        <v>415</v>
      </c>
    </row>
    <row r="24" spans="1:52">
      <c r="A24" s="23"/>
      <c r="B24" s="126"/>
      <c r="C24" s="50"/>
      <c r="D24" s="24"/>
      <c r="E24" s="24"/>
      <c r="F24" s="24"/>
      <c r="G24" s="24"/>
      <c r="H24" s="213" t="str">
        <f>IF(B24="","",IF(①基本データ入力!$D$13="","",①基本データ入力!$D$13))</f>
        <v/>
      </c>
      <c r="I24" s="163"/>
      <c r="J24" s="24"/>
      <c r="K24" s="24"/>
      <c r="L24" s="24"/>
      <c r="M24" s="25"/>
      <c r="N24" s="163"/>
      <c r="O24" s="40"/>
      <c r="P24" s="24"/>
      <c r="Q24" s="24"/>
      <c r="R24" s="25"/>
      <c r="S24" s="156" t="str">
        <f t="shared" si="3"/>
        <v/>
      </c>
      <c r="T24" s="156" t="str">
        <f t="shared" si="4"/>
        <v/>
      </c>
      <c r="U24" s="156" t="str">
        <f t="shared" si="5"/>
        <v/>
      </c>
      <c r="X24" s="39" t="str">
        <f t="shared" si="0"/>
        <v/>
      </c>
      <c r="Y24" s="38" t="str">
        <f t="shared" si="1"/>
        <v/>
      </c>
      <c r="Z24" s="1"/>
      <c r="AA24" t="str">
        <f>IF(①基本データ入力!$H$10=AZ$14,AZ32,AY32)</f>
        <v>女子200背泳ぎ</v>
      </c>
      <c r="AB24">
        <f t="shared" si="6"/>
        <v>0</v>
      </c>
      <c r="AE24" t="str">
        <f t="shared" si="7"/>
        <v/>
      </c>
      <c r="AF24" t="str">
        <f t="shared" si="2"/>
        <v/>
      </c>
      <c r="AG24" t="str">
        <f t="shared" si="8"/>
        <v/>
      </c>
      <c r="AH24" t="str">
        <f t="shared" si="9"/>
        <v/>
      </c>
      <c r="AI24" t="str">
        <f t="shared" si="10"/>
        <v/>
      </c>
      <c r="AJ24" t="str">
        <f t="shared" si="11"/>
        <v/>
      </c>
      <c r="AO24" s="153"/>
      <c r="AP24" s="153"/>
      <c r="AQ24" s="153"/>
      <c r="AR24" s="153"/>
      <c r="AS24" s="153"/>
      <c r="AT24" s="153"/>
      <c r="AU24" s="153"/>
      <c r="AV24" s="153"/>
      <c r="AW24" s="153"/>
      <c r="AY24" t="s">
        <v>395</v>
      </c>
      <c r="AZ24" t="s">
        <v>389</v>
      </c>
    </row>
    <row r="25" spans="1:52">
      <c r="A25" s="23"/>
      <c r="B25" s="126"/>
      <c r="C25" s="50"/>
      <c r="D25" s="24"/>
      <c r="E25" s="24"/>
      <c r="F25" s="24"/>
      <c r="G25" s="24"/>
      <c r="H25" s="213" t="str">
        <f>IF(B25="","",IF(①基本データ入力!$D$13="","",①基本データ入力!$D$13))</f>
        <v/>
      </c>
      <c r="I25" s="163"/>
      <c r="J25" s="24"/>
      <c r="K25" s="24"/>
      <c r="L25" s="24"/>
      <c r="M25" s="25"/>
      <c r="N25" s="163"/>
      <c r="O25" s="40"/>
      <c r="P25" s="24"/>
      <c r="Q25" s="24"/>
      <c r="R25" s="25"/>
      <c r="S25" s="156" t="str">
        <f t="shared" si="3"/>
        <v/>
      </c>
      <c r="T25" s="156" t="str">
        <f t="shared" si="4"/>
        <v/>
      </c>
      <c r="U25" s="156" t="str">
        <f t="shared" si="5"/>
        <v/>
      </c>
      <c r="X25" s="39" t="str">
        <f t="shared" si="0"/>
        <v/>
      </c>
      <c r="Y25" s="38" t="str">
        <f t="shared" si="1"/>
        <v/>
      </c>
      <c r="Z25" s="1"/>
      <c r="AA25" t="str">
        <f>IF(①基本データ入力!$H$10=AZ$14,AZ33,AY33)</f>
        <v>男子200個人メドレー</v>
      </c>
      <c r="AB25">
        <f t="shared" si="6"/>
        <v>0</v>
      </c>
      <c r="AE25" t="str">
        <f t="shared" si="7"/>
        <v/>
      </c>
      <c r="AF25" t="str">
        <f t="shared" si="2"/>
        <v/>
      </c>
      <c r="AG25" t="str">
        <f t="shared" si="8"/>
        <v/>
      </c>
      <c r="AH25" t="str">
        <f t="shared" si="9"/>
        <v/>
      </c>
      <c r="AI25" t="str">
        <f t="shared" si="10"/>
        <v/>
      </c>
      <c r="AJ25" t="str">
        <f t="shared" si="11"/>
        <v/>
      </c>
      <c r="AO25" s="153" t="s">
        <v>359</v>
      </c>
      <c r="AP25" s="263" t="s">
        <v>357</v>
      </c>
      <c r="AQ25" s="263"/>
      <c r="AR25" s="263"/>
      <c r="AS25" s="263"/>
      <c r="AT25" s="263" t="s">
        <v>369</v>
      </c>
      <c r="AU25" s="263"/>
      <c r="AV25" s="263"/>
      <c r="AW25" s="263"/>
      <c r="AY25" t="s">
        <v>396</v>
      </c>
      <c r="AZ25" t="s">
        <v>390</v>
      </c>
    </row>
    <row r="26" spans="1:52">
      <c r="A26" s="23"/>
      <c r="B26" s="126"/>
      <c r="C26" s="50"/>
      <c r="D26" s="24"/>
      <c r="E26" s="24"/>
      <c r="F26" s="24"/>
      <c r="G26" s="24"/>
      <c r="H26" s="213" t="str">
        <f>IF(B26="","",IF(①基本データ入力!$D$13="","",①基本データ入力!$D$13))</f>
        <v/>
      </c>
      <c r="I26" s="163"/>
      <c r="J26" s="24"/>
      <c r="K26" s="24"/>
      <c r="L26" s="24"/>
      <c r="M26" s="25"/>
      <c r="N26" s="163"/>
      <c r="O26" s="40"/>
      <c r="P26" s="24"/>
      <c r="Q26" s="24"/>
      <c r="R26" s="25"/>
      <c r="S26" s="156" t="str">
        <f t="shared" si="3"/>
        <v/>
      </c>
      <c r="T26" s="156" t="str">
        <f t="shared" si="4"/>
        <v/>
      </c>
      <c r="U26" s="156" t="str">
        <f t="shared" si="5"/>
        <v/>
      </c>
      <c r="X26" s="39" t="str">
        <f t="shared" si="0"/>
        <v/>
      </c>
      <c r="Y26" s="38" t="str">
        <f t="shared" si="1"/>
        <v/>
      </c>
      <c r="Z26" s="1"/>
      <c r="AA26" t="str">
        <f>IF(①基本データ入力!$H$10=AZ$14,AZ34,AY34)</f>
        <v>女子200個人メドレー</v>
      </c>
      <c r="AB26">
        <f t="shared" si="6"/>
        <v>0</v>
      </c>
      <c r="AE26" t="str">
        <f t="shared" si="7"/>
        <v/>
      </c>
      <c r="AF26" t="str">
        <f t="shared" si="2"/>
        <v/>
      </c>
      <c r="AG26" t="str">
        <f t="shared" si="8"/>
        <v/>
      </c>
      <c r="AH26" t="str">
        <f t="shared" si="9"/>
        <v/>
      </c>
      <c r="AI26" t="str">
        <f t="shared" si="10"/>
        <v/>
      </c>
      <c r="AJ26" t="str">
        <f t="shared" si="11"/>
        <v/>
      </c>
      <c r="AO26" s="153"/>
      <c r="AP26" s="153">
        <v>50</v>
      </c>
      <c r="AQ26" s="153">
        <v>100</v>
      </c>
      <c r="AR26" s="153">
        <v>200</v>
      </c>
      <c r="AS26" s="153">
        <v>400</v>
      </c>
      <c r="AT26" s="153">
        <v>50</v>
      </c>
      <c r="AU26" s="153">
        <v>100</v>
      </c>
      <c r="AV26" s="153">
        <v>200</v>
      </c>
      <c r="AW26" s="153">
        <v>400</v>
      </c>
      <c r="AY26" t="s">
        <v>397</v>
      </c>
      <c r="AZ26" t="s">
        <v>391</v>
      </c>
    </row>
    <row r="27" spans="1:52">
      <c r="A27" s="23"/>
      <c r="B27" s="126"/>
      <c r="C27" s="50"/>
      <c r="D27" s="24"/>
      <c r="E27" s="24"/>
      <c r="F27" s="24"/>
      <c r="G27" s="24"/>
      <c r="H27" s="213" t="str">
        <f>IF(B27="","",IF(①基本データ入力!$D$13="","",①基本データ入力!$D$13))</f>
        <v/>
      </c>
      <c r="I27" s="163"/>
      <c r="J27" s="24"/>
      <c r="K27" s="24"/>
      <c r="L27" s="24"/>
      <c r="M27" s="25"/>
      <c r="N27" s="163"/>
      <c r="O27" s="40"/>
      <c r="P27" s="24"/>
      <c r="Q27" s="24"/>
      <c r="R27" s="25"/>
      <c r="S27" s="156" t="str">
        <f t="shared" si="3"/>
        <v/>
      </c>
      <c r="T27" s="156" t="str">
        <f t="shared" si="4"/>
        <v/>
      </c>
      <c r="U27" s="156" t="str">
        <f t="shared" si="5"/>
        <v/>
      </c>
      <c r="X27" s="39" t="str">
        <f t="shared" si="0"/>
        <v/>
      </c>
      <c r="Y27" s="38" t="str">
        <f t="shared" si="1"/>
        <v/>
      </c>
      <c r="Z27" s="1"/>
      <c r="AA27" t="str">
        <f>IF(①基本データ入力!$H$10=AZ$14,AZ35,AY35)</f>
        <v>男子400自由形</v>
      </c>
      <c r="AB27">
        <f t="shared" si="6"/>
        <v>0</v>
      </c>
      <c r="AE27" t="str">
        <f t="shared" si="7"/>
        <v/>
      </c>
      <c r="AF27" t="str">
        <f t="shared" si="2"/>
        <v/>
      </c>
      <c r="AG27" t="str">
        <f t="shared" si="8"/>
        <v/>
      </c>
      <c r="AH27" t="str">
        <f t="shared" si="9"/>
        <v/>
      </c>
      <c r="AI27" t="str">
        <f t="shared" si="10"/>
        <v/>
      </c>
      <c r="AJ27" t="str">
        <f t="shared" si="11"/>
        <v/>
      </c>
      <c r="AO27" s="153"/>
      <c r="AP27" s="153" t="s">
        <v>360</v>
      </c>
      <c r="AQ27" s="153" t="s">
        <v>360</v>
      </c>
      <c r="AR27" s="153" t="s">
        <v>360</v>
      </c>
      <c r="AS27" s="153" t="s">
        <v>360</v>
      </c>
      <c r="AT27" s="153" t="s">
        <v>360</v>
      </c>
      <c r="AU27" s="153" t="s">
        <v>360</v>
      </c>
      <c r="AV27" s="153" t="s">
        <v>360</v>
      </c>
      <c r="AW27" s="153" t="s">
        <v>360</v>
      </c>
      <c r="AY27" t="s">
        <v>398</v>
      </c>
      <c r="AZ27" t="s">
        <v>392</v>
      </c>
    </row>
    <row r="28" spans="1:52">
      <c r="A28" s="23"/>
      <c r="B28" s="126"/>
      <c r="C28" s="50"/>
      <c r="D28" s="24"/>
      <c r="E28" s="24"/>
      <c r="F28" s="24"/>
      <c r="G28" s="24"/>
      <c r="H28" s="213" t="str">
        <f>IF(B28="","",IF(①基本データ入力!$D$13="","",①基本データ入力!$D$13))</f>
        <v/>
      </c>
      <c r="I28" s="163"/>
      <c r="J28" s="24"/>
      <c r="K28" s="24"/>
      <c r="L28" s="24"/>
      <c r="M28" s="25"/>
      <c r="N28" s="163"/>
      <c r="O28" s="40"/>
      <c r="P28" s="24"/>
      <c r="Q28" s="24"/>
      <c r="R28" s="25"/>
      <c r="S28" s="156" t="str">
        <f t="shared" si="3"/>
        <v/>
      </c>
      <c r="T28" s="156" t="str">
        <f t="shared" si="4"/>
        <v/>
      </c>
      <c r="U28" s="156" t="str">
        <f t="shared" si="5"/>
        <v/>
      </c>
      <c r="X28" s="39" t="str">
        <f t="shared" si="0"/>
        <v/>
      </c>
      <c r="Y28" s="38" t="str">
        <f t="shared" si="1"/>
        <v/>
      </c>
      <c r="Z28" s="1"/>
      <c r="AA28" t="str">
        <f>IF(①基本データ入力!$H$10=AZ$14,AZ36,AY36)</f>
        <v>女子400自由形</v>
      </c>
      <c r="AB28">
        <f t="shared" si="6"/>
        <v>0</v>
      </c>
      <c r="AE28" t="str">
        <f t="shared" si="7"/>
        <v/>
      </c>
      <c r="AF28" t="str">
        <f t="shared" si="2"/>
        <v/>
      </c>
      <c r="AG28" t="str">
        <f t="shared" si="8"/>
        <v/>
      </c>
      <c r="AH28" t="str">
        <f t="shared" si="9"/>
        <v/>
      </c>
      <c r="AI28" t="str">
        <f t="shared" si="10"/>
        <v/>
      </c>
      <c r="AJ28" t="str">
        <f t="shared" si="11"/>
        <v/>
      </c>
      <c r="AO28" s="153"/>
      <c r="AP28" s="153" t="s">
        <v>361</v>
      </c>
      <c r="AQ28" s="153" t="s">
        <v>361</v>
      </c>
      <c r="AR28" s="153" t="s">
        <v>361</v>
      </c>
      <c r="AS28" s="153"/>
      <c r="AT28" s="153" t="s">
        <v>361</v>
      </c>
      <c r="AU28" s="153" t="s">
        <v>361</v>
      </c>
      <c r="AV28" s="153" t="s">
        <v>361</v>
      </c>
      <c r="AW28" s="153"/>
      <c r="AY28" t="s">
        <v>399</v>
      </c>
      <c r="AZ28" t="s">
        <v>393</v>
      </c>
    </row>
    <row r="29" spans="1:52">
      <c r="A29" s="23"/>
      <c r="B29" s="126"/>
      <c r="C29" s="50"/>
      <c r="D29" s="24"/>
      <c r="E29" s="24"/>
      <c r="F29" s="24"/>
      <c r="G29" s="24"/>
      <c r="H29" s="213" t="str">
        <f>IF(B29="","",IF(①基本データ入力!$D$13="","",①基本データ入力!$D$13))</f>
        <v/>
      </c>
      <c r="I29" s="163"/>
      <c r="J29" s="24"/>
      <c r="K29" s="24"/>
      <c r="L29" s="24"/>
      <c r="M29" s="25"/>
      <c r="N29" s="163"/>
      <c r="O29" s="40"/>
      <c r="P29" s="24"/>
      <c r="Q29" s="24"/>
      <c r="R29" s="25"/>
      <c r="S29" s="156" t="str">
        <f t="shared" si="3"/>
        <v/>
      </c>
      <c r="T29" s="156" t="str">
        <f t="shared" si="4"/>
        <v/>
      </c>
      <c r="U29" s="156" t="str">
        <f t="shared" si="5"/>
        <v/>
      </c>
      <c r="X29" s="39" t="str">
        <f t="shared" si="0"/>
        <v/>
      </c>
      <c r="Y29" s="38" t="str">
        <f t="shared" si="1"/>
        <v/>
      </c>
      <c r="Z29" s="1"/>
      <c r="AA29">
        <f>IF(①基本データ入力!$H$10=AZ$14,AZ37,AY37)</f>
        <v>0</v>
      </c>
      <c r="AB29">
        <f t="shared" si="6"/>
        <v>0</v>
      </c>
      <c r="AE29" t="str">
        <f t="shared" si="7"/>
        <v/>
      </c>
      <c r="AF29" t="str">
        <f t="shared" si="2"/>
        <v/>
      </c>
      <c r="AG29" t="str">
        <f t="shared" si="8"/>
        <v/>
      </c>
      <c r="AH29" t="str">
        <f t="shared" si="9"/>
        <v/>
      </c>
      <c r="AI29" t="str">
        <f t="shared" si="10"/>
        <v/>
      </c>
      <c r="AJ29" t="str">
        <f t="shared" si="11"/>
        <v/>
      </c>
      <c r="AO29" s="153"/>
      <c r="AP29" s="153" t="s">
        <v>364</v>
      </c>
      <c r="AQ29" s="153" t="s">
        <v>364</v>
      </c>
      <c r="AR29" s="153" t="s">
        <v>364</v>
      </c>
      <c r="AS29" s="153"/>
      <c r="AT29" s="153" t="s">
        <v>364</v>
      </c>
      <c r="AU29" s="153" t="s">
        <v>364</v>
      </c>
      <c r="AV29" s="153" t="s">
        <v>362</v>
      </c>
      <c r="AW29" s="153"/>
      <c r="AY29" t="s">
        <v>400</v>
      </c>
      <c r="AZ29" t="s">
        <v>394</v>
      </c>
    </row>
    <row r="30" spans="1:52">
      <c r="A30" s="23"/>
      <c r="B30" s="126"/>
      <c r="C30" s="50"/>
      <c r="D30" s="24"/>
      <c r="E30" s="24"/>
      <c r="F30" s="24"/>
      <c r="G30" s="24"/>
      <c r="H30" s="213" t="str">
        <f>IF(B30="","",IF(①基本データ入力!$D$13="","",①基本データ入力!$D$13))</f>
        <v/>
      </c>
      <c r="I30" s="163"/>
      <c r="J30" s="24"/>
      <c r="K30" s="24"/>
      <c r="L30" s="24"/>
      <c r="M30" s="25"/>
      <c r="N30" s="163"/>
      <c r="O30" s="40"/>
      <c r="P30" s="24"/>
      <c r="Q30" s="24"/>
      <c r="R30" s="25"/>
      <c r="S30" s="156" t="str">
        <f t="shared" si="3"/>
        <v/>
      </c>
      <c r="T30" s="156" t="str">
        <f t="shared" si="4"/>
        <v/>
      </c>
      <c r="U30" s="156" t="str">
        <f t="shared" si="5"/>
        <v/>
      </c>
      <c r="X30" s="39" t="str">
        <f t="shared" si="0"/>
        <v/>
      </c>
      <c r="Y30" s="38" t="str">
        <f t="shared" si="1"/>
        <v/>
      </c>
      <c r="Z30" s="1"/>
      <c r="AA30">
        <f>IF(①基本データ入力!$H$10=AZ$14,AZ38,AY38)</f>
        <v>0</v>
      </c>
      <c r="AB30">
        <f t="shared" si="6"/>
        <v>0</v>
      </c>
      <c r="AE30" t="str">
        <f t="shared" si="7"/>
        <v/>
      </c>
      <c r="AF30" t="str">
        <f t="shared" si="2"/>
        <v/>
      </c>
      <c r="AG30" t="str">
        <f t="shared" si="8"/>
        <v/>
      </c>
      <c r="AH30" t="str">
        <f t="shared" si="9"/>
        <v/>
      </c>
      <c r="AI30" t="str">
        <f t="shared" si="10"/>
        <v/>
      </c>
      <c r="AJ30" t="str">
        <f t="shared" si="11"/>
        <v/>
      </c>
      <c r="AO30" s="153"/>
      <c r="AP30" s="153" t="s">
        <v>362</v>
      </c>
      <c r="AQ30" s="153" t="s">
        <v>362</v>
      </c>
      <c r="AR30" s="153" t="s">
        <v>362</v>
      </c>
      <c r="AS30" s="153"/>
      <c r="AT30" s="153" t="s">
        <v>362</v>
      </c>
      <c r="AU30" s="153" t="s">
        <v>362</v>
      </c>
      <c r="AV30" s="153" t="s">
        <v>366</v>
      </c>
      <c r="AW30" s="153"/>
      <c r="AY30" t="s">
        <v>401</v>
      </c>
      <c r="AZ30" t="s">
        <v>395</v>
      </c>
    </row>
    <row r="31" spans="1:52">
      <c r="A31" s="23"/>
      <c r="B31" s="126"/>
      <c r="C31" s="50"/>
      <c r="D31" s="24"/>
      <c r="E31" s="24"/>
      <c r="F31" s="24"/>
      <c r="G31" s="24"/>
      <c r="H31" s="213" t="str">
        <f>IF(B31="","",IF(①基本データ入力!$D$13="","",①基本データ入力!$D$13))</f>
        <v/>
      </c>
      <c r="I31" s="163"/>
      <c r="J31" s="24"/>
      <c r="K31" s="24"/>
      <c r="L31" s="24"/>
      <c r="M31" s="25"/>
      <c r="N31" s="163"/>
      <c r="O31" s="40"/>
      <c r="P31" s="24"/>
      <c r="Q31" s="24"/>
      <c r="R31" s="25"/>
      <c r="S31" s="156" t="str">
        <f t="shared" si="3"/>
        <v/>
      </c>
      <c r="T31" s="156" t="str">
        <f t="shared" si="4"/>
        <v/>
      </c>
      <c r="U31" s="156" t="str">
        <f t="shared" si="5"/>
        <v/>
      </c>
      <c r="X31" s="39" t="str">
        <f t="shared" si="0"/>
        <v/>
      </c>
      <c r="Y31" s="38" t="str">
        <f t="shared" si="1"/>
        <v/>
      </c>
      <c r="Z31" s="1"/>
      <c r="AA31">
        <f>IF(①基本データ入力!$H$10=AZ$14,AZ39,AY39)</f>
        <v>0</v>
      </c>
      <c r="AB31">
        <f t="shared" si="6"/>
        <v>0</v>
      </c>
      <c r="AE31" t="str">
        <f t="shared" si="7"/>
        <v/>
      </c>
      <c r="AF31" t="str">
        <f t="shared" si="2"/>
        <v/>
      </c>
      <c r="AG31" t="str">
        <f t="shared" si="8"/>
        <v/>
      </c>
      <c r="AH31" t="str">
        <f t="shared" si="9"/>
        <v/>
      </c>
      <c r="AI31" t="str">
        <f t="shared" si="10"/>
        <v/>
      </c>
      <c r="AJ31" t="str">
        <f t="shared" si="11"/>
        <v/>
      </c>
      <c r="AO31" s="154"/>
      <c r="AP31" s="153"/>
      <c r="AQ31" s="153"/>
      <c r="AR31" s="153" t="s">
        <v>366</v>
      </c>
      <c r="AS31" s="153"/>
      <c r="AT31" s="153"/>
      <c r="AU31" s="153"/>
      <c r="AV31" s="153"/>
      <c r="AW31" s="153"/>
      <c r="AY31" t="s">
        <v>402</v>
      </c>
      <c r="AZ31" t="s">
        <v>396</v>
      </c>
    </row>
    <row r="32" spans="1:52" ht="14.25" thickBot="1">
      <c r="A32" s="26"/>
      <c r="B32" s="127"/>
      <c r="C32" s="51"/>
      <c r="D32" s="27"/>
      <c r="E32" s="27"/>
      <c r="F32" s="27"/>
      <c r="G32" s="27"/>
      <c r="H32" s="214" t="str">
        <f>IF(B32="","",IF(①基本データ入力!$D$13="","",①基本データ入力!$D$13))</f>
        <v/>
      </c>
      <c r="I32" s="164"/>
      <c r="J32" s="27"/>
      <c r="K32" s="27"/>
      <c r="L32" s="27"/>
      <c r="M32" s="28"/>
      <c r="N32" s="164"/>
      <c r="O32" s="41"/>
      <c r="P32" s="27"/>
      <c r="Q32" s="27"/>
      <c r="R32" s="28"/>
      <c r="S32" s="156" t="str">
        <f t="shared" si="3"/>
        <v/>
      </c>
      <c r="T32" s="156" t="str">
        <f t="shared" si="4"/>
        <v/>
      </c>
      <c r="U32" s="156" t="str">
        <f t="shared" si="5"/>
        <v/>
      </c>
      <c r="X32" s="39" t="str">
        <f t="shared" si="0"/>
        <v/>
      </c>
      <c r="Y32" s="38" t="str">
        <f t="shared" si="1"/>
        <v/>
      </c>
      <c r="Z32" s="1"/>
      <c r="AA32">
        <f>IF(①基本データ入力!$H$10=AZ$14,AZ40,AY40)</f>
        <v>0</v>
      </c>
      <c r="AB32">
        <f t="shared" si="6"/>
        <v>0</v>
      </c>
      <c r="AE32" t="str">
        <f t="shared" si="7"/>
        <v/>
      </c>
      <c r="AF32" t="str">
        <f t="shared" si="2"/>
        <v/>
      </c>
      <c r="AG32" t="str">
        <f t="shared" si="8"/>
        <v/>
      </c>
      <c r="AH32" t="str">
        <f t="shared" si="9"/>
        <v/>
      </c>
      <c r="AI32" t="str">
        <f t="shared" si="10"/>
        <v/>
      </c>
      <c r="AJ32" t="str">
        <f t="shared" si="11"/>
        <v/>
      </c>
      <c r="AO32" s="3"/>
      <c r="AP32" s="128"/>
      <c r="AY32" t="s">
        <v>403</v>
      </c>
      <c r="AZ32" t="s">
        <v>397</v>
      </c>
    </row>
    <row r="33" spans="1:5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52"/>
      <c r="AA33">
        <f>IF(①基本データ入力!$H$10=AZ$14,AZ41,AY41)</f>
        <v>0</v>
      </c>
      <c r="AB33">
        <f t="shared" si="6"/>
        <v>0</v>
      </c>
      <c r="AY33" t="s">
        <v>404</v>
      </c>
      <c r="AZ33" t="s">
        <v>398</v>
      </c>
    </row>
    <row r="34" spans="1:52">
      <c r="AA34">
        <f>IF(①基本データ入力!$H$10=AZ$14,AZ42,AY42)</f>
        <v>0</v>
      </c>
      <c r="AB34">
        <f>COUNTIF($X$8:$Y$32,AA34)</f>
        <v>0</v>
      </c>
      <c r="AO34" s="3"/>
      <c r="AY34" t="s">
        <v>405</v>
      </c>
      <c r="AZ34" t="s">
        <v>399</v>
      </c>
    </row>
    <row r="35" spans="1:52">
      <c r="AO35" s="3"/>
      <c r="AY35" t="s">
        <v>406</v>
      </c>
      <c r="AZ35" t="s">
        <v>400</v>
      </c>
    </row>
    <row r="36" spans="1:52">
      <c r="AO36" s="3"/>
      <c r="AY36" t="s">
        <v>407</v>
      </c>
      <c r="AZ36" t="s">
        <v>401</v>
      </c>
    </row>
    <row r="37" spans="1:52">
      <c r="AO37" s="3"/>
      <c r="AZ37" t="s">
        <v>402</v>
      </c>
    </row>
    <row r="38" spans="1:52">
      <c r="AZ38" t="s">
        <v>403</v>
      </c>
    </row>
    <row r="39" spans="1:52">
      <c r="AZ39" t="s">
        <v>404</v>
      </c>
    </row>
    <row r="40" spans="1:52">
      <c r="AZ40" t="s">
        <v>405</v>
      </c>
    </row>
    <row r="41" spans="1:52">
      <c r="AZ41" t="s">
        <v>406</v>
      </c>
    </row>
    <row r="42" spans="1:52">
      <c r="AZ42" t="s">
        <v>407</v>
      </c>
    </row>
  </sheetData>
  <sheetProtection sheet="1" objects="1" scenarios="1"/>
  <dataConsolidate/>
  <mergeCells count="14">
    <mergeCell ref="AP25:AS25"/>
    <mergeCell ref="AT25:AW25"/>
    <mergeCell ref="AP2:AS2"/>
    <mergeCell ref="AT2:AW2"/>
    <mergeCell ref="B2:H3"/>
    <mergeCell ref="B5:R5"/>
    <mergeCell ref="J2:Q3"/>
    <mergeCell ref="AP16:AS16"/>
    <mergeCell ref="AT16:AW16"/>
    <mergeCell ref="AF5:AF7"/>
    <mergeCell ref="AG5:AG7"/>
    <mergeCell ref="AH5:AH7"/>
    <mergeCell ref="AI5:AI7"/>
    <mergeCell ref="AJ5:AJ7"/>
  </mergeCells>
  <phoneticPr fontId="4"/>
  <conditionalFormatting sqref="S5">
    <cfRule type="expression" dxfId="0" priority="1">
      <formula>IF($T$5=FALSE,"同種目３人以上です","")</formula>
    </cfRule>
  </conditionalFormatting>
  <dataValidations xWindow="225" yWindow="326" count="10">
    <dataValidation allowBlank="1" showErrorMessage="1" sqref="H7" xr:uid="{00000000-0002-0000-0100-000000000000}"/>
    <dataValidation imeMode="halfAlpha" allowBlank="1" showInputMessage="1" showErrorMessage="1" sqref="P8:Q32" xr:uid="{00000000-0002-0000-0100-000001000000}"/>
    <dataValidation allowBlank="1" showInputMessage="1" showErrorMessage="1" prompt="秒以下を入力。５６秒０５ならば０５を入力。" sqref="M8:M32" xr:uid="{00000000-0002-0000-0100-000002000000}"/>
    <dataValidation imeMode="halfAlpha" allowBlank="1" showInputMessage="1" showErrorMessage="1" prompt="秒以下を入力。５６秒０５ならば０５を入力。" sqref="R8:R32" xr:uid="{00000000-0002-0000-0100-000003000000}"/>
    <dataValidation type="list" allowBlank="1" showInputMessage="1" showErrorMessage="1" sqref="A7:A32" xr:uid="{00000000-0002-0000-0100-000004000000}">
      <formula1>"男子,女子"</formula1>
    </dataValidation>
    <dataValidation imeMode="halfKatakana" allowBlank="1" showInputMessage="1" showErrorMessage="1" error="半角カタカナで入力してください。" sqref="C8:C32" xr:uid="{00000000-0002-0000-0100-000005000000}"/>
    <dataValidation imeMode="halfAlpha" allowBlank="1" showInputMessage="1" showErrorMessage="1" prompt="学年の入力ミスに注意してください。_x000d__x000d_" sqref="G8:G32" xr:uid="{00000000-0002-0000-0100-000006000000}"/>
    <dataValidation type="list" allowBlank="1" showInputMessage="1" showErrorMessage="1" sqref="I8:I32 N8:N32" xr:uid="{00000000-0002-0000-0100-000007000000}">
      <formula1>INDIRECT($A8)</formula1>
    </dataValidation>
    <dataValidation type="list" allowBlank="1" showInputMessage="1" showErrorMessage="1" sqref="J8:J32 O8:O32" xr:uid="{00000000-0002-0000-0100-000008000000}">
      <formula1>IF(I8&lt;&gt;"",INDIRECT(TEXT($A8&amp;I8,"@")),"")</formula1>
    </dataValidation>
    <dataValidation allowBlank="1" showInputMessage="1" showErrorMessage="1" prompt="西暦で入力して下さい。" sqref="D8:D32" xr:uid="{00000000-0002-0000-0100-000009000000}"/>
  </dataValidations>
  <pageMargins left="0.78700000000000003" right="0.78700000000000003" top="0.98399999999999999" bottom="0.98399999999999999" header="0.51200000000000001" footer="0.51200000000000001"/>
  <pageSetup paperSize="9" orientation="landscape" verticalDpi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29"/>
  <sheetViews>
    <sheetView workbookViewId="0">
      <selection activeCell="F24" sqref="F24"/>
    </sheetView>
  </sheetViews>
  <sheetFormatPr defaultColWidth="8.75" defaultRowHeight="13.5"/>
  <cols>
    <col min="2" max="2" width="14.125" customWidth="1"/>
    <col min="3" max="3" width="11.625" customWidth="1"/>
    <col min="4" max="4" width="9.125" customWidth="1"/>
    <col min="5" max="5" width="8.5" customWidth="1"/>
    <col min="6" max="8" width="7" customWidth="1"/>
    <col min="9" max="9" width="13.625" bestFit="1" customWidth="1"/>
    <col min="10" max="10" width="7.75" customWidth="1"/>
    <col min="11" max="11" width="3.375" customWidth="1"/>
    <col min="12" max="12" width="2.625" customWidth="1"/>
    <col min="13" max="18" width="3.375" customWidth="1"/>
    <col min="19" max="19" width="9.125" customWidth="1"/>
    <col min="20" max="23" width="3.375" customWidth="1"/>
  </cols>
  <sheetData>
    <row r="1" spans="1:2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63"/>
      <c r="Q1" s="63"/>
      <c r="R1" s="63"/>
      <c r="S1" s="63"/>
      <c r="T1" s="63"/>
      <c r="U1" s="63"/>
      <c r="V1" s="63"/>
    </row>
    <row r="2" spans="1:22" ht="14.25" thickBo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63"/>
      <c r="Q2" s="63"/>
      <c r="R2" s="63"/>
      <c r="S2" s="63"/>
      <c r="T2" s="63"/>
      <c r="U2" s="63"/>
      <c r="V2" s="63"/>
    </row>
    <row r="3" spans="1:22" ht="16.899999999999999" customHeight="1">
      <c r="A3" s="52"/>
      <c r="B3" s="243" t="s">
        <v>40</v>
      </c>
      <c r="C3" s="244"/>
      <c r="D3" s="244"/>
      <c r="E3" s="244"/>
      <c r="F3" s="244"/>
      <c r="G3" s="244"/>
      <c r="H3" s="245"/>
      <c r="I3" s="188"/>
      <c r="J3" s="52"/>
      <c r="K3" s="265" t="s">
        <v>281</v>
      </c>
      <c r="L3" s="265"/>
      <c r="M3" s="265"/>
      <c r="N3" s="265"/>
      <c r="O3" s="265"/>
      <c r="P3" s="265"/>
      <c r="Q3" s="265"/>
      <c r="R3" s="265"/>
      <c r="S3" s="265"/>
      <c r="T3" s="63"/>
      <c r="U3" s="63"/>
      <c r="V3" s="63"/>
    </row>
    <row r="4" spans="1:22" ht="18" customHeight="1" thickBot="1">
      <c r="A4" s="52"/>
      <c r="B4" s="246"/>
      <c r="C4" s="247"/>
      <c r="D4" s="247"/>
      <c r="E4" s="247"/>
      <c r="F4" s="247"/>
      <c r="G4" s="247"/>
      <c r="H4" s="248"/>
      <c r="I4" s="188"/>
      <c r="J4" s="52"/>
      <c r="K4" s="265"/>
      <c r="L4" s="265"/>
      <c r="M4" s="265"/>
      <c r="N4" s="265"/>
      <c r="O4" s="265"/>
      <c r="P4" s="265"/>
      <c r="Q4" s="265"/>
      <c r="R4" s="265"/>
      <c r="S4" s="265"/>
      <c r="T4" s="63"/>
      <c r="U4" s="63"/>
      <c r="V4" s="63"/>
    </row>
    <row r="5" spans="1:2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63"/>
      <c r="Q5" s="63"/>
      <c r="R5" s="63"/>
      <c r="S5" s="63"/>
      <c r="T5" s="63"/>
      <c r="U5" s="63"/>
      <c r="V5" s="63"/>
    </row>
    <row r="6" spans="1:22" ht="14.25" thickBo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63"/>
      <c r="Q6" s="63"/>
      <c r="R6" s="63"/>
      <c r="S6" s="63"/>
      <c r="T6" s="63"/>
      <c r="U6" s="63"/>
      <c r="V6" s="63"/>
    </row>
    <row r="7" spans="1:22" ht="13.5" customHeight="1">
      <c r="A7" s="52"/>
      <c r="B7" s="268" t="s">
        <v>421</v>
      </c>
      <c r="C7" s="269"/>
      <c r="D7" s="269"/>
      <c r="E7" s="269"/>
      <c r="F7" s="269"/>
      <c r="G7" s="269"/>
      <c r="H7" s="270"/>
      <c r="I7" s="78"/>
      <c r="J7" s="52"/>
      <c r="K7" s="53"/>
      <c r="L7" s="52"/>
      <c r="M7" s="52"/>
      <c r="N7" s="52"/>
      <c r="O7" s="52"/>
      <c r="P7" s="63"/>
      <c r="Q7" s="63"/>
      <c r="R7" s="63"/>
      <c r="S7" s="63"/>
      <c r="T7" s="63"/>
      <c r="U7" s="63"/>
      <c r="V7" s="63"/>
    </row>
    <row r="8" spans="1:22">
      <c r="A8" s="52"/>
      <c r="B8" s="271"/>
      <c r="C8" s="272"/>
      <c r="D8" s="272"/>
      <c r="E8" s="272"/>
      <c r="F8" s="272"/>
      <c r="G8" s="272"/>
      <c r="H8" s="273"/>
      <c r="I8" s="78"/>
      <c r="J8" s="52"/>
      <c r="K8" s="53"/>
      <c r="L8" s="52"/>
      <c r="M8" s="52"/>
      <c r="N8" s="52"/>
      <c r="O8" s="52"/>
      <c r="P8" s="63"/>
      <c r="Q8" s="63"/>
      <c r="R8" s="63"/>
      <c r="S8" s="63"/>
      <c r="T8" s="63"/>
      <c r="U8" s="63"/>
      <c r="V8" s="63"/>
    </row>
    <row r="9" spans="1:22" ht="14.25" thickBot="1">
      <c r="A9" s="52"/>
      <c r="B9" s="274"/>
      <c r="C9" s="275"/>
      <c r="D9" s="275"/>
      <c r="E9" s="275"/>
      <c r="F9" s="275"/>
      <c r="G9" s="275"/>
      <c r="H9" s="276"/>
      <c r="I9" s="78"/>
      <c r="J9" s="52"/>
      <c r="K9" s="53"/>
      <c r="L9" s="52"/>
      <c r="M9" s="52"/>
      <c r="N9" s="52"/>
      <c r="O9" s="52"/>
      <c r="P9" s="63"/>
      <c r="Q9" s="63"/>
      <c r="R9" s="63"/>
      <c r="S9" s="63"/>
      <c r="T9" s="63"/>
      <c r="U9" s="63"/>
      <c r="V9" s="63"/>
    </row>
    <row r="10" spans="1:22" ht="14.25" thickBo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63"/>
      <c r="Q10" s="63"/>
      <c r="R10" s="63"/>
      <c r="S10" s="63"/>
      <c r="T10" s="63"/>
      <c r="U10" s="63"/>
      <c r="V10" s="63"/>
    </row>
    <row r="11" spans="1:22" ht="14.25" thickBot="1">
      <c r="A11" s="55"/>
      <c r="B11" s="57" t="s">
        <v>41</v>
      </c>
      <c r="C11" s="209" t="s">
        <v>494</v>
      </c>
      <c r="D11" s="58" t="s">
        <v>37</v>
      </c>
      <c r="E11" s="58" t="s">
        <v>15</v>
      </c>
      <c r="F11" s="58" t="s">
        <v>16</v>
      </c>
      <c r="G11" s="58" t="s">
        <v>17</v>
      </c>
      <c r="H11" s="59"/>
      <c r="I11" s="52"/>
      <c r="J11" s="52"/>
      <c r="K11" s="52"/>
      <c r="L11" s="52"/>
      <c r="M11" s="52"/>
      <c r="N11" s="52"/>
      <c r="O11" s="52"/>
      <c r="P11" s="63"/>
      <c r="Q11" s="63"/>
      <c r="R11" s="63"/>
      <c r="S11" s="63"/>
      <c r="T11" s="63"/>
      <c r="U11" s="63"/>
      <c r="V11" s="63"/>
    </row>
    <row r="12" spans="1:22" ht="14.25" thickBot="1">
      <c r="A12" s="55"/>
      <c r="B12" s="145" t="s">
        <v>213</v>
      </c>
      <c r="C12" s="146" t="s">
        <v>350</v>
      </c>
      <c r="D12" s="146" t="s">
        <v>34</v>
      </c>
      <c r="E12" s="144" t="str">
        <f>IF(F12="","","4×100")</f>
        <v>4×100</v>
      </c>
      <c r="F12" s="146" t="s">
        <v>108</v>
      </c>
      <c r="G12" s="146" t="s">
        <v>38</v>
      </c>
      <c r="H12" s="147" t="s">
        <v>39</v>
      </c>
      <c r="I12" s="54" t="s">
        <v>21</v>
      </c>
      <c r="J12" s="52"/>
      <c r="K12" s="52"/>
      <c r="L12" s="52"/>
      <c r="M12" s="52"/>
      <c r="N12" s="52"/>
      <c r="O12" s="52"/>
      <c r="P12" s="63"/>
      <c r="Q12" s="63"/>
      <c r="R12" s="63"/>
      <c r="S12" s="63"/>
      <c r="T12" s="63"/>
      <c r="U12" s="63"/>
      <c r="V12" s="63"/>
    </row>
    <row r="13" spans="1:22">
      <c r="A13" s="55"/>
      <c r="B13" s="215" t="str">
        <f>IF(C13="","",①基本データ入力!$D$13)</f>
        <v/>
      </c>
      <c r="C13" s="60"/>
      <c r="D13" s="141"/>
      <c r="E13" s="217" t="str">
        <f>IF(C13="","","4×100")</f>
        <v/>
      </c>
      <c r="F13" s="60"/>
      <c r="G13" s="60"/>
      <c r="H13" s="61"/>
      <c r="I13" s="156" t="str">
        <f>IF(AND(D13&lt;&gt;"",F13=""),"タイムが未入力","")</f>
        <v/>
      </c>
      <c r="J13" s="148" t="str">
        <f>D13&amp;C13</f>
        <v/>
      </c>
      <c r="K13" s="63">
        <f>IF($D$13&amp;C$13="女子ﾌﾘｰﾘﾚｰ",1+0.01,10+0.01)</f>
        <v>10.01</v>
      </c>
      <c r="L13" s="63">
        <f>RANK(K13,$K$13:$K$16,1)</f>
        <v>1</v>
      </c>
      <c r="M13" s="63" t="str">
        <f>IF(K13="","",ASC(IF(LEN(F13)=1,"0"&amp;F13,F13))&amp;"分"&amp;ASC(IF(LEN(G13)=1,"0"&amp;G13,G13))&amp;"秒"&amp;ASC(IF(LEN(H13)=1,"0"&amp;H13,H13)))</f>
        <v>分秒</v>
      </c>
      <c r="N13" s="63">
        <f>IF(D13&amp;C13="男子ﾌﾘｰﾘﾚｰ",1+0.01,10+0.01)</f>
        <v>10.01</v>
      </c>
      <c r="O13" s="63">
        <f>RANK(N13,$N$13:$N$16,1)</f>
        <v>1</v>
      </c>
      <c r="P13" s="63" t="str">
        <f>IF(N13="","",ASC(IF(LEN(F13)=1,"0"&amp;F13,F13))&amp;"分"&amp;ASC(IF(LEN(G13)=1,"0"&amp;G13,G13))&amp;"秒"&amp;ASC(IF(LEN(H13)=1,"0"&amp;H13,H13)))</f>
        <v>分秒</v>
      </c>
      <c r="Q13" s="63">
        <f>IF(D13&amp;C13="女子ﾒﾄﾞﾚｰﾘﾚｰ",1+0.01,10+0.01)</f>
        <v>10.01</v>
      </c>
      <c r="R13" s="63">
        <f>RANK(Q13,$Q$13:$Q$16,1)</f>
        <v>1</v>
      </c>
      <c r="S13" s="63" t="str">
        <f>IF(Q13="","",ASC(IF(LEN(F13)=1,"0"&amp;F13,F13))&amp;"分"&amp;ASC(IF(LEN(G13)=1,"0"&amp;G13,G13))&amp;"秒"&amp;ASC(IF(LEN(H13)=1,"0"&amp;H13,H13)))</f>
        <v>分秒</v>
      </c>
      <c r="T13" s="63">
        <f>IF(D13&amp;C13="男子ﾒﾄﾞﾚｰﾘﾚｰ",1+0.01,10+0.01)</f>
        <v>10.01</v>
      </c>
      <c r="U13" s="63">
        <f>RANK(T13,$T$13:$T$16,1)</f>
        <v>1</v>
      </c>
      <c r="V13" s="63" t="str">
        <f>IF(T13="","",ASC(IF(LEN(F13)=1,"0"&amp;F13,F13))&amp;"分"&amp;ASC(IF(LEN(G13)=1,"0"&amp;G13,G13))&amp;"秒"&amp;ASC(IF(LEN(H13)=1,"0"&amp;H13,H13)))</f>
        <v>分秒</v>
      </c>
    </row>
    <row r="14" spans="1:22">
      <c r="A14" s="55"/>
      <c r="B14" s="215" t="str">
        <f>IF(C14="","",①基本データ入力!$D$13)</f>
        <v/>
      </c>
      <c r="C14" s="60"/>
      <c r="D14" s="22"/>
      <c r="E14" s="218" t="str">
        <f>IF(C14="","","4×100")</f>
        <v/>
      </c>
      <c r="F14" s="22"/>
      <c r="G14" s="22"/>
      <c r="H14" s="56"/>
      <c r="I14" s="156" t="str">
        <f t="shared" ref="I14:I16" si="0">IF(AND(D14&lt;&gt;"",F14=""),"タイムが未入力","")</f>
        <v/>
      </c>
      <c r="J14" s="62" t="str">
        <f>D14&amp;C14</f>
        <v/>
      </c>
      <c r="K14" s="63">
        <f>IF($D$14&amp;C$14="女子ﾌﾘｰﾘﾚｰ",1+0.02,10+0.02)</f>
        <v>10.02</v>
      </c>
      <c r="L14" s="63">
        <f>RANK(K14,$K$13:$K$16,1)</f>
        <v>2</v>
      </c>
      <c r="M14" s="63" t="str">
        <f>IF(K14="","",ASC(IF(LEN(F14)=1,"0"&amp;F14,F14))&amp;"分"&amp;ASC(IF(LEN(G14)=1,"0"&amp;G14,G14))&amp;"秒"&amp;ASC(IF(LEN(H14)=1,"0"&amp;H14,H14)))</f>
        <v>分秒</v>
      </c>
      <c r="N14" s="63">
        <f>IF(D14&amp;C14="男子ﾌﾘｰﾘﾚｰ",1+0.02,10+0.02)</f>
        <v>10.02</v>
      </c>
      <c r="O14" s="63">
        <f>RANK(N14,$N$13:$N$16,1)</f>
        <v>2</v>
      </c>
      <c r="P14" s="63" t="str">
        <f>IF(N14="","",ASC(IF(LEN(F14)=1,"0"&amp;F14,F14))&amp;"分"&amp;ASC(IF(LEN(G14)=1,"0"&amp;G14,G14))&amp;"秒"&amp;ASC(IF(LEN(H14)=1,"0"&amp;H14,H14)))</f>
        <v>分秒</v>
      </c>
      <c r="Q14" s="63">
        <f>IF(D14&amp;C14="女子ﾒﾄﾞﾚｰﾘﾚｰ",1+0.02,10+0.02)</f>
        <v>10.02</v>
      </c>
      <c r="R14" s="63">
        <f>RANK(Q14,$Q$13:$Q$16,1)</f>
        <v>2</v>
      </c>
      <c r="S14" s="63" t="str">
        <f>IF(Q14="","",ASC(IF(LEN(F14)=1,"0"&amp;F14,F14))&amp;"分"&amp;ASC(IF(LEN(G14)=1,"0"&amp;G14,G14))&amp;"秒"&amp;ASC(IF(LEN(H14)=1,"0"&amp;H14,H14)))</f>
        <v>分秒</v>
      </c>
      <c r="T14" s="63">
        <f>IF(D14&amp;C14="男子ﾒﾄﾞﾚｰﾘﾚｰ",1+0.02,10+0.02)</f>
        <v>10.02</v>
      </c>
      <c r="U14" s="63">
        <f>RANK(T14,$T$13:$T$16,1)</f>
        <v>2</v>
      </c>
      <c r="V14" s="63" t="str">
        <f>IF(T14="","",ASC(IF(LEN(F14)=1,"0"&amp;F14,F14))&amp;"分"&amp;ASC(IF(LEN(G14)=1,"0"&amp;G14,G14))&amp;"秒"&amp;ASC(IF(LEN(H14)=1,"0"&amp;H14,H14)))</f>
        <v>分秒</v>
      </c>
    </row>
    <row r="15" spans="1:22">
      <c r="A15" s="55"/>
      <c r="B15" s="215" t="str">
        <f>IF(C15="","",①基本データ入力!$D$13)</f>
        <v/>
      </c>
      <c r="C15" s="22"/>
      <c r="D15" s="22"/>
      <c r="E15" s="218" t="str">
        <f>IF(C15="","","4×100")</f>
        <v/>
      </c>
      <c r="F15" s="22"/>
      <c r="G15" s="22"/>
      <c r="H15" s="56"/>
      <c r="I15" s="156" t="str">
        <f t="shared" si="0"/>
        <v/>
      </c>
      <c r="J15" s="62" t="str">
        <f>D15&amp;C15</f>
        <v/>
      </c>
      <c r="K15" s="63">
        <f>IF($D$15&amp;C$15="女子ﾌﾘｰﾘﾚｰ",1+0.03,10+0.03)</f>
        <v>10.029999999999999</v>
      </c>
      <c r="L15" s="63">
        <f>RANK(K15,$K$13:$K$16,1)</f>
        <v>3</v>
      </c>
      <c r="M15" s="63" t="str">
        <f>IF(K15="","",ASC(IF(LEN(F15)=1,"0"&amp;F15,F15))&amp;"分"&amp;ASC(IF(LEN(G15)=1,"0"&amp;G15,G15))&amp;"秒"&amp;ASC(IF(LEN(H15)=1,"0"&amp;H15,H15)))</f>
        <v>分秒</v>
      </c>
      <c r="N15" s="63">
        <f>IF(D15&amp;C15="男子ﾌﾘｰﾘﾚｰ",1+0.03,10+0.03)</f>
        <v>10.029999999999999</v>
      </c>
      <c r="O15" s="63">
        <f>RANK(N15,$N$13:$N$16,1)</f>
        <v>3</v>
      </c>
      <c r="P15" s="63" t="str">
        <f>IF(N15="","",ASC(IF(LEN(F15)=1,"0"&amp;F15,F15))&amp;"分"&amp;ASC(IF(LEN(G15)=1,"0"&amp;G15,G15))&amp;"秒"&amp;ASC(IF(LEN(H15)=1,"0"&amp;H15,H15)))</f>
        <v>分秒</v>
      </c>
      <c r="Q15" s="63">
        <f>IF(D15&amp;C15="女子ﾒﾄﾞﾚｰﾘﾚｰ",1+0.03,10+0.03)</f>
        <v>10.029999999999999</v>
      </c>
      <c r="R15" s="63">
        <f>RANK(Q15,$Q$13:$Q$16,1)</f>
        <v>3</v>
      </c>
      <c r="S15" s="63" t="str">
        <f>IF(Q15="","",ASC(IF(LEN(F15)=1,"0"&amp;F15,F15))&amp;"分"&amp;ASC(IF(LEN(G15)=1,"0"&amp;G15,G15))&amp;"秒"&amp;ASC(IF(LEN(H15)=1,"0"&amp;H15,H15)))</f>
        <v>分秒</v>
      </c>
      <c r="T15" s="63">
        <f>IF(D15&amp;C15="男子ﾒﾄﾞﾚｰﾘﾚｰ",1+0.03,10+0.03)</f>
        <v>10.029999999999999</v>
      </c>
      <c r="U15" s="63">
        <f>RANK(T15,$T$13:$T$16,1)</f>
        <v>3</v>
      </c>
      <c r="V15" s="63" t="str">
        <f>IF(T15="","",ASC(IF(LEN(F15)=1,"0"&amp;F15,F15))&amp;"分"&amp;ASC(IF(LEN(G15)=1,"0"&amp;G15,G15))&amp;"秒"&amp;ASC(IF(LEN(H15)=1,"0"&amp;H15,H15)))</f>
        <v>分秒</v>
      </c>
    </row>
    <row r="16" spans="1:22" ht="14.25" thickBot="1">
      <c r="A16" s="55"/>
      <c r="B16" s="216" t="str">
        <f>IF(C16="","",①基本データ入力!$D$13)</f>
        <v/>
      </c>
      <c r="C16" s="142"/>
      <c r="D16" s="142"/>
      <c r="E16" s="219" t="str">
        <f>IF(C16="","","4×100")</f>
        <v/>
      </c>
      <c r="F16" s="142"/>
      <c r="G16" s="142"/>
      <c r="H16" s="143"/>
      <c r="I16" s="156" t="str">
        <f t="shared" si="0"/>
        <v/>
      </c>
      <c r="J16" s="62" t="str">
        <f>D16&amp;C16</f>
        <v/>
      </c>
      <c r="K16" s="63">
        <f>IF($D$16&amp;C$16="女子ﾌﾘｰﾘﾚｰ",1+0.04,10+0.04)</f>
        <v>10.039999999999999</v>
      </c>
      <c r="L16" s="63">
        <f>RANK(K16,$K$13:$K$16,1)</f>
        <v>4</v>
      </c>
      <c r="M16" s="63" t="str">
        <f>IF(K16="","",ASC(IF(LEN(F16)=1,"0"&amp;F16,F16))&amp;"分"&amp;ASC(IF(LEN(G16)=1,"0"&amp;G16,G16))&amp;"秒"&amp;ASC(IF(LEN(H16)=1,"0"&amp;H16,H16)))</f>
        <v>分秒</v>
      </c>
      <c r="N16" s="63">
        <f>IF(D16&amp;C16="男子ﾌﾘｰﾘﾚｰ",1+0.04,10+0.04)</f>
        <v>10.039999999999999</v>
      </c>
      <c r="O16" s="63">
        <f>RANK(N16,$N$13:$N$16,1)</f>
        <v>4</v>
      </c>
      <c r="P16" s="63" t="str">
        <f>IF(N16="","",ASC(IF(LEN(F16)=1,"0"&amp;F16,F16))&amp;"分"&amp;ASC(IF(LEN(G16)=1,"0"&amp;G16,G16))&amp;"秒"&amp;ASC(IF(LEN(H16)=1,"0"&amp;H16,H16)))</f>
        <v>分秒</v>
      </c>
      <c r="Q16" s="63">
        <f>IF(D16&amp;C16="女子ﾒﾄﾞﾚｰﾘﾚｰ",1+0.04,10+0.04)</f>
        <v>10.039999999999999</v>
      </c>
      <c r="R16" s="63">
        <f>RANK(Q16,$Q$13:$Q$16,1)</f>
        <v>4</v>
      </c>
      <c r="S16" s="63" t="str">
        <f>IF(Q16="","",ASC(IF(LEN(F16)=1,"0"&amp;F16,F16))&amp;"分"&amp;ASC(IF(LEN(G16)=1,"0"&amp;G16,G16))&amp;"秒"&amp;ASC(IF(LEN(H16)=1,"0"&amp;H16,H16)))</f>
        <v>分秒</v>
      </c>
      <c r="T16" s="63">
        <f>IF(D16&amp;C16="男子ﾒﾄﾞﾚｰﾘﾚｰ",1+0.04,10+0.04)</f>
        <v>10.039999999999999</v>
      </c>
      <c r="U16" s="63">
        <f>RANK(T16,$T$13:$T$16,1)</f>
        <v>4</v>
      </c>
      <c r="V16" s="63" t="str">
        <f>IF(T16="","",ASC(IF(LEN(F16)=1,"0"&amp;F16,F16))&amp;"分"&amp;ASC(IF(LEN(G16)=1,"0"&amp;G16,G16))&amp;"秒"&amp;ASC(IF(LEN(H16)=1,"0"&amp;H16,H16)))</f>
        <v>分秒</v>
      </c>
    </row>
    <row r="17" spans="1:22">
      <c r="A17" s="52"/>
      <c r="B17" s="52"/>
      <c r="C17" s="52"/>
      <c r="D17" s="52"/>
      <c r="E17" s="52"/>
      <c r="F17" s="52"/>
      <c r="G17" s="52"/>
      <c r="H17" s="52"/>
      <c r="I17" s="52"/>
      <c r="J17" s="54"/>
      <c r="K17" s="52"/>
      <c r="L17" s="52"/>
      <c r="M17" s="52"/>
      <c r="N17" s="52"/>
      <c r="O17" s="52"/>
      <c r="P17" s="63"/>
      <c r="Q17" s="63"/>
      <c r="R17" s="63"/>
      <c r="S17" s="63"/>
      <c r="T17" s="63"/>
      <c r="U17" s="63"/>
      <c r="V17" s="63"/>
    </row>
    <row r="18" spans="1:22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63"/>
      <c r="Q18" s="63"/>
      <c r="R18" s="63"/>
      <c r="S18" s="63"/>
      <c r="T18" s="63"/>
      <c r="U18" s="63"/>
      <c r="V18" s="63"/>
    </row>
    <row r="19" spans="1:2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63"/>
      <c r="Q19" s="63"/>
      <c r="R19" s="63"/>
      <c r="S19" s="63"/>
      <c r="T19" s="63"/>
      <c r="U19" s="63"/>
      <c r="V19" s="63"/>
    </row>
    <row r="20" spans="1:22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63"/>
      <c r="Q20" s="63"/>
      <c r="R20" s="63"/>
      <c r="S20" s="63"/>
      <c r="T20" s="63"/>
      <c r="U20" s="63"/>
      <c r="V20" s="63"/>
    </row>
    <row r="21" spans="1:22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63"/>
      <c r="Q21" s="63"/>
      <c r="R21" s="63"/>
      <c r="S21" s="63"/>
      <c r="T21" s="63"/>
      <c r="U21" s="63"/>
      <c r="V21" s="63"/>
    </row>
    <row r="22" spans="1:22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63"/>
      <c r="Q22" s="63"/>
      <c r="R22" s="63"/>
      <c r="S22" s="63"/>
      <c r="T22" s="63"/>
      <c r="U22" s="63"/>
      <c r="V22" s="63"/>
    </row>
    <row r="23" spans="1:22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63"/>
      <c r="Q23" s="63"/>
      <c r="R23" s="63"/>
      <c r="S23" s="63"/>
      <c r="T23" s="63"/>
      <c r="U23" s="63"/>
      <c r="V23" s="63"/>
    </row>
    <row r="24" spans="1:22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63"/>
      <c r="Q24" s="63"/>
      <c r="R24" s="63"/>
      <c r="S24" s="63"/>
      <c r="T24" s="63"/>
      <c r="U24" s="63"/>
      <c r="V24" s="63"/>
    </row>
    <row r="25" spans="1:2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63"/>
      <c r="Q25" s="63"/>
      <c r="R25" s="63"/>
      <c r="S25" s="63"/>
      <c r="T25" s="63"/>
      <c r="U25" s="63"/>
      <c r="V25" s="63"/>
    </row>
    <row r="26" spans="1:2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63"/>
      <c r="Q26" s="63"/>
      <c r="R26" s="63"/>
      <c r="S26" s="63"/>
      <c r="T26" s="63"/>
      <c r="U26" s="63"/>
      <c r="V26" s="63"/>
    </row>
    <row r="27" spans="1:2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63"/>
      <c r="Q27" s="63"/>
      <c r="R27" s="63"/>
      <c r="S27" s="63"/>
      <c r="T27" s="63"/>
      <c r="U27" s="63"/>
      <c r="V27" s="63"/>
    </row>
    <row r="28" spans="1:2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63"/>
      <c r="Q28" s="63"/>
      <c r="R28" s="63"/>
      <c r="S28" s="63"/>
      <c r="T28" s="63"/>
      <c r="U28" s="63"/>
      <c r="V28" s="63"/>
    </row>
    <row r="29" spans="1:2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63"/>
      <c r="Q29" s="63"/>
      <c r="R29" s="63"/>
      <c r="S29" s="63"/>
      <c r="T29" s="63"/>
      <c r="U29" s="63"/>
      <c r="V29" s="63"/>
    </row>
  </sheetData>
  <sheetProtection sheet="1" objects="1" scenarios="1"/>
  <mergeCells count="3">
    <mergeCell ref="B3:H4"/>
    <mergeCell ref="B7:H9"/>
    <mergeCell ref="K3:S4"/>
  </mergeCells>
  <phoneticPr fontId="4"/>
  <dataValidations xWindow="448" yWindow="413" count="6">
    <dataValidation type="list" allowBlank="1" showInputMessage="1" showErrorMessage="1" sqref="D12:D16" xr:uid="{00000000-0002-0000-0200-000000000000}">
      <formula1>"男子,女子"</formula1>
    </dataValidation>
    <dataValidation allowBlank="1" showInputMessage="1" showErrorMessage="1" prompt="右の種目を先に入力してください。" sqref="B13:B16 E12" xr:uid="{00000000-0002-0000-0200-000001000000}"/>
    <dataValidation allowBlank="1" showInputMessage="1" showErrorMessage="1" prompt="半角入力" sqref="F13:G16" xr:uid="{00000000-0002-0000-0200-000002000000}"/>
    <dataValidation imeMode="halfAlpha" allowBlank="1" showInputMessage="1" showErrorMessage="1" prompt="秒以下を入力してください。４分０２秒０１であれば０１と記入してください。_x000d_" sqref="H13:H16" xr:uid="{00000000-0002-0000-0200-000003000000}"/>
    <dataValidation type="list" allowBlank="1" showInputMessage="1" showErrorMessage="1" sqref="C12:C16" xr:uid="{00000000-0002-0000-0200-000004000000}">
      <formula1>"ﾌﾘｰﾘﾚｰ,ﾒﾄﾞﾚｰﾘﾚｰ"</formula1>
    </dataValidation>
    <dataValidation allowBlank="1" showInputMessage="1" showErrorMessage="1" prompt="左の種目を先に入力してください。" sqref="E13:E16" xr:uid="{00000000-0002-0000-0200-000005000000}"/>
  </dataValidations>
  <pageMargins left="0.78700000000000003" right="0.78700000000000003" top="0.98399999999999999" bottom="0.98399999999999999" header="0.51200000000000001" footer="0.51200000000000001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0"/>
    <pageSetUpPr fitToPage="1"/>
  </sheetPr>
  <dimension ref="A1:R42"/>
  <sheetViews>
    <sheetView zoomScaleNormal="100" workbookViewId="0">
      <selection activeCell="K13" sqref="K13"/>
    </sheetView>
  </sheetViews>
  <sheetFormatPr defaultColWidth="8.75" defaultRowHeight="13.5"/>
  <cols>
    <col min="1" max="1" width="2.125" customWidth="1"/>
    <col min="2" max="3" width="19.125" customWidth="1"/>
    <col min="4" max="5" width="4.625" customWidth="1"/>
    <col min="6" max="6" width="12.625" customWidth="1"/>
    <col min="7" max="7" width="5.625" bestFit="1" customWidth="1"/>
    <col min="8" max="8" width="6.125" customWidth="1"/>
    <col min="9" max="9" width="10.375" customWidth="1"/>
    <col min="10" max="10" width="12.625" customWidth="1"/>
    <col min="11" max="11" width="6.125" customWidth="1"/>
    <col min="12" max="12" width="10.375" customWidth="1"/>
    <col min="13" max="13" width="12.625" customWidth="1"/>
    <col min="14" max="14" width="7.625" customWidth="1"/>
    <col min="15" max="15" width="3.125" customWidth="1"/>
    <col min="17" max="17" width="10.5" bestFit="1" customWidth="1"/>
  </cols>
  <sheetData>
    <row r="1" spans="1:18">
      <c r="J1" s="10" t="str">
        <f>IF(①基本データ入力!D13&lt;&gt;"",VLOOKUP(①基本データ入力!D13,中学住所!A1:J35,3,FALSE),"")</f>
        <v/>
      </c>
      <c r="K1" t="str">
        <f>IF(①基本データ入力!D13&lt;&gt;"",VLOOKUP(①基本データ入力!D13,中学住所!A1:J35,4,FALSE),"")</f>
        <v/>
      </c>
      <c r="L1" s="121" t="str">
        <f>①基本データ入力!D13&amp;"中"</f>
        <v>中</v>
      </c>
      <c r="N1" s="123"/>
      <c r="O1" s="123"/>
    </row>
    <row r="2" spans="1:18" s="5" customFormat="1" ht="21">
      <c r="A2" s="308" t="str">
        <f ca="1">CONCATENATE("令和",①基本データ入力!E8,"年度")</f>
        <v>令和6年度</v>
      </c>
      <c r="B2" s="308"/>
      <c r="C2" s="302" t="str">
        <f ca="1">①基本データ入力!D10&amp;①基本データ入力!H10&amp;①基本データ入力!J10&amp;"　水泳競技の部　参加申込一覧表"</f>
        <v>第18回備南東地区中学校総合体育大会　水泳競技の部　参加申込一覧表</v>
      </c>
      <c r="D2" s="302"/>
      <c r="E2" s="302"/>
      <c r="F2" s="302"/>
      <c r="G2" s="302"/>
      <c r="H2" s="302"/>
      <c r="I2" s="302"/>
      <c r="J2" s="302"/>
      <c r="K2" s="302"/>
      <c r="L2" s="302"/>
      <c r="M2" s="223"/>
      <c r="N2" s="65"/>
      <c r="Q2" s="220"/>
    </row>
    <row r="3" spans="1:18" ht="6.75" customHeight="1">
      <c r="B3" s="72"/>
      <c r="C3" s="72"/>
    </row>
    <row r="4" spans="1:18" ht="21" customHeight="1">
      <c r="A4" s="3"/>
      <c r="B4" s="307" t="str">
        <f>IF(①基本データ入力!$D$13="","",INDEX(中学住所!$E$3:$L$57,MATCH(①基本データ入力!$D$13,中学住所!$E$3:$E$57,0),3))</f>
        <v/>
      </c>
      <c r="C4" s="307"/>
      <c r="D4" s="2"/>
      <c r="E4" s="2"/>
      <c r="F4" s="21"/>
      <c r="G4" s="21"/>
      <c r="I4" s="303" t="s">
        <v>24</v>
      </c>
      <c r="J4" s="306" t="str">
        <f>IF(①基本データ入力!D16="","",①基本データ入力!D16)</f>
        <v/>
      </c>
      <c r="K4" s="306"/>
      <c r="L4" s="306"/>
      <c r="M4" s="306"/>
      <c r="N4" s="71"/>
    </row>
    <row r="5" spans="1:18" ht="7.5" customHeight="1">
      <c r="A5" s="3"/>
      <c r="B5" s="31"/>
      <c r="C5" s="31"/>
      <c r="D5" s="2"/>
      <c r="E5" s="2"/>
      <c r="F5" s="21"/>
      <c r="G5" s="21"/>
      <c r="I5" s="303"/>
      <c r="J5" s="4"/>
      <c r="K5" s="79"/>
      <c r="L5" s="79"/>
      <c r="M5" s="79"/>
      <c r="N5" s="71"/>
    </row>
    <row r="6" spans="1:18">
      <c r="B6" s="304" t="str">
        <f>"　　住所　　"&amp;①基本データ入力!N12</f>
        <v>　　住所　　</v>
      </c>
      <c r="C6" s="304"/>
      <c r="D6" s="304"/>
      <c r="E6" s="304"/>
      <c r="F6" s="304"/>
      <c r="J6" s="67"/>
      <c r="K6" s="67"/>
      <c r="L6" s="67"/>
      <c r="M6" s="4"/>
      <c r="N6" s="4"/>
    </row>
    <row r="7" spans="1:18">
      <c r="B7" s="283" t="str">
        <f>"　　電話　　"&amp;①基本データ入力!N13</f>
        <v>　　電話　　</v>
      </c>
      <c r="C7" s="283"/>
      <c r="D7" s="4"/>
      <c r="E7" s="4"/>
      <c r="F7" s="32"/>
      <c r="G7" s="6"/>
      <c r="I7" s="157" t="s">
        <v>345</v>
      </c>
      <c r="J7" s="4"/>
      <c r="K7" s="305" t="str">
        <f>IF(①基本データ入力!D18="","",①基本データ入力!D18)</f>
        <v/>
      </c>
      <c r="L7" s="305"/>
      <c r="M7" s="305"/>
      <c r="N7" s="4"/>
    </row>
    <row r="8" spans="1:18">
      <c r="B8" s="283" t="str">
        <f>"　　FAX　　"&amp;①基本データ入力!U13</f>
        <v>　　FAX　　</v>
      </c>
      <c r="C8" s="283"/>
      <c r="D8" s="4"/>
      <c r="E8" s="4"/>
      <c r="F8" s="4"/>
      <c r="I8" s="66" t="s">
        <v>110</v>
      </c>
      <c r="J8" s="64" t="s">
        <v>25</v>
      </c>
      <c r="K8" s="289" t="str">
        <f>IF(①基本データ入力!D21="","",①基本データ入力!D21)</f>
        <v/>
      </c>
      <c r="L8" s="289"/>
      <c r="M8" s="289"/>
      <c r="N8" s="4"/>
    </row>
    <row r="9" spans="1:18">
      <c r="B9" s="224" t="s">
        <v>472</v>
      </c>
      <c r="C9" s="300" t="str">
        <f>IF(①基本データ入力!L18&lt;&gt;"",①基本データ入力!L18,"")</f>
        <v/>
      </c>
      <c r="D9" s="300"/>
      <c r="E9" s="300"/>
      <c r="F9" s="301" t="str">
        <f>IF(①基本データ入力!V13&lt;&gt;0,①基本データ入力!V13,"")</f>
        <v/>
      </c>
      <c r="G9" s="301"/>
      <c r="H9" s="301"/>
      <c r="I9" s="4"/>
      <c r="J9" s="64" t="s">
        <v>26</v>
      </c>
      <c r="K9" s="289" t="str">
        <f>IF(①基本データ入力!D23="","",①基本データ入力!D23)</f>
        <v/>
      </c>
      <c r="L9" s="289"/>
      <c r="M9" s="289"/>
    </row>
    <row r="10" spans="1:18" ht="5.25" customHeight="1" thickBot="1"/>
    <row r="11" spans="1:18" ht="17.25" customHeight="1" thickBot="1">
      <c r="B11" s="34" t="s">
        <v>27</v>
      </c>
      <c r="C11" s="35" t="s">
        <v>74</v>
      </c>
      <c r="D11" s="158" t="s">
        <v>31</v>
      </c>
      <c r="E11" s="158" t="s">
        <v>28</v>
      </c>
      <c r="F11" s="294" t="s">
        <v>68</v>
      </c>
      <c r="G11" s="295"/>
      <c r="H11" s="34" t="s">
        <v>30</v>
      </c>
      <c r="I11" s="36" t="s">
        <v>29</v>
      </c>
      <c r="J11" s="37" t="s">
        <v>75</v>
      </c>
      <c r="K11" s="34" t="s">
        <v>30</v>
      </c>
      <c r="L11" s="119" t="s">
        <v>29</v>
      </c>
      <c r="M11" s="37" t="s">
        <v>75</v>
      </c>
    </row>
    <row r="12" spans="1:18" ht="15" customHeight="1">
      <c r="B12" s="165" t="str">
        <f>IF(②個人種目申込!B8="","",②個人種目申込!B8)</f>
        <v/>
      </c>
      <c r="C12" s="166" t="str">
        <f>IF(②個人種目申込!C8="","",ASC(②個人種目申込!C8))</f>
        <v/>
      </c>
      <c r="D12" s="167" t="str">
        <f>IF(B12="","",②個人種目申込!A8)</f>
        <v/>
      </c>
      <c r="E12" s="167" t="str">
        <f>IF(②個人種目申込!G8="","",②個人種目申込!G8)</f>
        <v/>
      </c>
      <c r="F12" s="296" t="str">
        <f>IF(②個人種目申込!B8="","",②個人種目申込!D8&amp;"年"&amp;②個人種目申込!E8&amp;"月"&amp;②個人種目申込!F8&amp;"日")</f>
        <v/>
      </c>
      <c r="G12" s="297"/>
      <c r="H12" s="165" t="str">
        <f>IF(②個人種目申込!I8="","",②個人種目申込!I8)</f>
        <v/>
      </c>
      <c r="I12" s="168" t="str">
        <f>IF(②個人種目申込!J8="","",②個人種目申込!J8)</f>
        <v/>
      </c>
      <c r="J12" s="169" t="str">
        <f>IF(I12="","",IF(②個人種目申込!K8="00","",ASC(②個人種目申込!K8)&amp;"分")&amp;ASC(②個人種目申込!L8)&amp;"秒"&amp;ASC(②個人種目申込!M8))</f>
        <v/>
      </c>
      <c r="K12" s="165" t="str">
        <f>IF(②個人種目申込!N8="","",②個人種目申込!N8)</f>
        <v/>
      </c>
      <c r="L12" s="170" t="str">
        <f>IF(②個人種目申込!O8="","",②個人種目申込!O8)</f>
        <v/>
      </c>
      <c r="M12" s="171" t="str">
        <f>IF(L12="","",IF(②個人種目申込!P8="00","",ASC(②個人種目申込!P8)&amp;"分")&amp;ASC(②個人種目申込!Q8)&amp;"秒"&amp;ASC(②個人種目申込!R8))</f>
        <v/>
      </c>
    </row>
    <row r="13" spans="1:18" ht="15" customHeight="1">
      <c r="B13" s="172" t="str">
        <f>IF(②個人種目申込!B9="","",②個人種目申込!B9)</f>
        <v/>
      </c>
      <c r="C13" s="173" t="str">
        <f>IF(②個人種目申込!C9="","",ASC(②個人種目申込!C9))</f>
        <v/>
      </c>
      <c r="D13" s="174" t="str">
        <f>IF(B13="","",②個人種目申込!A9)</f>
        <v/>
      </c>
      <c r="E13" s="174" t="str">
        <f>IF(②個人種目申込!G9="","",②個人種目申込!G9)</f>
        <v/>
      </c>
      <c r="F13" s="290" t="str">
        <f>IF(②個人種目申込!B9="","",②個人種目申込!D9&amp;"年"&amp;②個人種目申込!E9&amp;"月"&amp;②個人種目申込!F9&amp;"日")</f>
        <v/>
      </c>
      <c r="G13" s="291"/>
      <c r="H13" s="172" t="str">
        <f>IF(②個人種目申込!I9="","",②個人種目申込!I9)</f>
        <v/>
      </c>
      <c r="I13" s="175" t="str">
        <f>IF(②個人種目申込!J9="","",②個人種目申込!J9)</f>
        <v/>
      </c>
      <c r="J13" s="176" t="str">
        <f>IF(I13="","",IF(②個人種目申込!K9="00","",ASC(②個人種目申込!K9)&amp;"分")&amp;ASC(②個人種目申込!L9)&amp;"秒"&amp;ASC(②個人種目申込!M9))</f>
        <v/>
      </c>
      <c r="K13" s="172" t="str">
        <f>IF(②個人種目申込!N9="","",②個人種目申込!N9)</f>
        <v/>
      </c>
      <c r="L13" s="177" t="str">
        <f>IF(②個人種目申込!O9="","",②個人種目申込!O9)</f>
        <v/>
      </c>
      <c r="M13" s="178" t="str">
        <f>IF(L13="","",IF(②個人種目申込!P9="00","",ASC(②個人種目申込!P9)&amp;"分")&amp;ASC(②個人種目申込!Q9)&amp;"秒"&amp;ASC(②個人種目申込!R9))</f>
        <v/>
      </c>
    </row>
    <row r="14" spans="1:18" ht="15" customHeight="1">
      <c r="B14" s="172" t="str">
        <f>IF(②個人種目申込!B10="","",②個人種目申込!B10)</f>
        <v/>
      </c>
      <c r="C14" s="173" t="str">
        <f>IF(②個人種目申込!C10="","",ASC(②個人種目申込!C10))</f>
        <v/>
      </c>
      <c r="D14" s="174" t="str">
        <f>IF(B14="","",②個人種目申込!A10)</f>
        <v/>
      </c>
      <c r="E14" s="174" t="str">
        <f>IF(②個人種目申込!G10="","",②個人種目申込!G10)</f>
        <v/>
      </c>
      <c r="F14" s="290" t="str">
        <f>IF(②個人種目申込!B10="","",②個人種目申込!D10&amp;"年"&amp;②個人種目申込!E10&amp;"月"&amp;②個人種目申込!F10&amp;"日")</f>
        <v/>
      </c>
      <c r="G14" s="291"/>
      <c r="H14" s="172" t="str">
        <f>IF(②個人種目申込!I10="","",②個人種目申込!I10)</f>
        <v/>
      </c>
      <c r="I14" s="175" t="str">
        <f>IF(②個人種目申込!J10="","",②個人種目申込!J10)</f>
        <v/>
      </c>
      <c r="J14" s="176" t="str">
        <f>IF(I14="","",IF(②個人種目申込!K10="00","",ASC(②個人種目申込!K10)&amp;"分")&amp;ASC(②個人種目申込!L10)&amp;"秒"&amp;ASC(②個人種目申込!M10))</f>
        <v/>
      </c>
      <c r="K14" s="172" t="str">
        <f>IF(②個人種目申込!N10="","",②個人種目申込!N10)</f>
        <v/>
      </c>
      <c r="L14" s="177" t="str">
        <f>IF(②個人種目申込!O10="","",②個人種目申込!O10)</f>
        <v/>
      </c>
      <c r="M14" s="178" t="str">
        <f>IF(L14="","",IF(②個人種目申込!P10="00","",ASC(②個人種目申込!P10)&amp;"分")&amp;ASC(②個人種目申込!Q10)&amp;"秒"&amp;ASC(②個人種目申込!R10))</f>
        <v/>
      </c>
      <c r="R14" s="152"/>
    </row>
    <row r="15" spans="1:18" ht="15" customHeight="1">
      <c r="B15" s="172" t="str">
        <f>IF(②個人種目申込!B11="","",②個人種目申込!B11)</f>
        <v/>
      </c>
      <c r="C15" s="173" t="str">
        <f>IF(②個人種目申込!C11="","",ASC(②個人種目申込!C11))</f>
        <v/>
      </c>
      <c r="D15" s="174" t="str">
        <f>IF(B15="","",②個人種目申込!A11)</f>
        <v/>
      </c>
      <c r="E15" s="174" t="str">
        <f>IF(②個人種目申込!G11="","",②個人種目申込!G11)</f>
        <v/>
      </c>
      <c r="F15" s="290" t="str">
        <f>IF(②個人種目申込!B11="","",②個人種目申込!D11&amp;"年"&amp;②個人種目申込!E11&amp;"月"&amp;②個人種目申込!F11&amp;"日")</f>
        <v/>
      </c>
      <c r="G15" s="291"/>
      <c r="H15" s="172" t="str">
        <f>IF(②個人種目申込!I11="","",②個人種目申込!I11)</f>
        <v/>
      </c>
      <c r="I15" s="175" t="str">
        <f>IF(②個人種目申込!J11="","",②個人種目申込!J11)</f>
        <v/>
      </c>
      <c r="J15" s="176" t="str">
        <f>IF(I15="","",IF(②個人種目申込!K11="00","",ASC(②個人種目申込!K11)&amp;"分")&amp;ASC(②個人種目申込!L11)&amp;"秒"&amp;ASC(②個人種目申込!M11))</f>
        <v/>
      </c>
      <c r="K15" s="172" t="str">
        <f>IF(②個人種目申込!N11="","",②個人種目申込!N11)</f>
        <v/>
      </c>
      <c r="L15" s="177" t="str">
        <f>IF(②個人種目申込!O11="","",②個人種目申込!O11)</f>
        <v/>
      </c>
      <c r="M15" s="178" t="str">
        <f>IF(L15="","",IF(②個人種目申込!P11="00","",ASC(②個人種目申込!P11)&amp;"分")&amp;ASC(②個人種目申込!Q11)&amp;"秒"&amp;ASC(②個人種目申込!R11))</f>
        <v/>
      </c>
    </row>
    <row r="16" spans="1:18" ht="15" customHeight="1">
      <c r="B16" s="172" t="str">
        <f>IF(②個人種目申込!B12="","",②個人種目申込!B12)</f>
        <v/>
      </c>
      <c r="C16" s="173" t="str">
        <f>IF(②個人種目申込!C12="","",ASC(②個人種目申込!C12))</f>
        <v/>
      </c>
      <c r="D16" s="174" t="str">
        <f>IF(B16="","",②個人種目申込!A12)</f>
        <v/>
      </c>
      <c r="E16" s="174" t="str">
        <f>IF(②個人種目申込!G12="","",②個人種目申込!G12)</f>
        <v/>
      </c>
      <c r="F16" s="290" t="str">
        <f>IF(②個人種目申込!B12="","",②個人種目申込!D12&amp;"年"&amp;②個人種目申込!E12&amp;"月"&amp;②個人種目申込!F12&amp;"日")</f>
        <v/>
      </c>
      <c r="G16" s="291"/>
      <c r="H16" s="172" t="str">
        <f>IF(②個人種目申込!I12="","",②個人種目申込!I12)</f>
        <v/>
      </c>
      <c r="I16" s="175" t="str">
        <f>IF(②個人種目申込!J12="","",②個人種目申込!J12)</f>
        <v/>
      </c>
      <c r="J16" s="176" t="str">
        <f>IF(I16="","",IF(②個人種目申込!K12="00","",ASC(②個人種目申込!K12)&amp;"分")&amp;ASC(②個人種目申込!L12)&amp;"秒"&amp;ASC(②個人種目申込!M12))</f>
        <v/>
      </c>
      <c r="K16" s="172" t="str">
        <f>IF(②個人種目申込!N12="","",②個人種目申込!N12)</f>
        <v/>
      </c>
      <c r="L16" s="177" t="str">
        <f>IF(②個人種目申込!O12="","",②個人種目申込!O12)</f>
        <v/>
      </c>
      <c r="M16" s="178" t="str">
        <f>IF(L16="","",IF(②個人種目申込!P12="00","",ASC(②個人種目申込!P12)&amp;"分")&amp;ASC(②個人種目申込!Q12)&amp;"秒"&amp;ASC(②個人種目申込!R12))</f>
        <v/>
      </c>
    </row>
    <row r="17" spans="2:13" ht="15" customHeight="1">
      <c r="B17" s="172" t="str">
        <f>IF(②個人種目申込!B13="","",②個人種目申込!B13)</f>
        <v/>
      </c>
      <c r="C17" s="173" t="str">
        <f>IF(②個人種目申込!C13="","",ASC(②個人種目申込!C13))</f>
        <v/>
      </c>
      <c r="D17" s="174" t="str">
        <f>IF(B17="","",②個人種目申込!A13)</f>
        <v/>
      </c>
      <c r="E17" s="174" t="str">
        <f>IF(②個人種目申込!G13="","",②個人種目申込!G13)</f>
        <v/>
      </c>
      <c r="F17" s="290" t="str">
        <f>IF(②個人種目申込!B13="","",②個人種目申込!D13&amp;"年"&amp;②個人種目申込!E13&amp;"月"&amp;②個人種目申込!F13&amp;"日")</f>
        <v/>
      </c>
      <c r="G17" s="291"/>
      <c r="H17" s="172" t="str">
        <f>IF(②個人種目申込!I13="","",②個人種目申込!I13)</f>
        <v/>
      </c>
      <c r="I17" s="175" t="str">
        <f>IF(②個人種目申込!J13="","",②個人種目申込!J13)</f>
        <v/>
      </c>
      <c r="J17" s="176" t="str">
        <f>IF(I17="","",IF(②個人種目申込!K13="00","",ASC(②個人種目申込!K13)&amp;"分")&amp;ASC(②個人種目申込!L13)&amp;"秒"&amp;ASC(②個人種目申込!M13))</f>
        <v/>
      </c>
      <c r="K17" s="172" t="str">
        <f>IF(②個人種目申込!N13="","",②個人種目申込!N13)</f>
        <v/>
      </c>
      <c r="L17" s="177" t="str">
        <f>IF(②個人種目申込!O13="","",②個人種目申込!O13)</f>
        <v/>
      </c>
      <c r="M17" s="178" t="str">
        <f>IF(L17="","",IF(②個人種目申込!P13="00","",ASC(②個人種目申込!P13)&amp;"分")&amp;ASC(②個人種目申込!Q13)&amp;"秒"&amp;ASC(②個人種目申込!R13))</f>
        <v/>
      </c>
    </row>
    <row r="18" spans="2:13" ht="15" customHeight="1">
      <c r="B18" s="172" t="str">
        <f>IF(②個人種目申込!B14="","",②個人種目申込!B14)</f>
        <v/>
      </c>
      <c r="C18" s="173" t="str">
        <f>IF(②個人種目申込!C14="","",ASC(②個人種目申込!C14))</f>
        <v/>
      </c>
      <c r="D18" s="174" t="str">
        <f>IF(B18="","",②個人種目申込!A14)</f>
        <v/>
      </c>
      <c r="E18" s="174" t="str">
        <f>IF(②個人種目申込!G14="","",②個人種目申込!G14)</f>
        <v/>
      </c>
      <c r="F18" s="290" t="str">
        <f>IF(②個人種目申込!B14="","",②個人種目申込!D14&amp;"年"&amp;②個人種目申込!E14&amp;"月"&amp;②個人種目申込!F14&amp;"日")</f>
        <v/>
      </c>
      <c r="G18" s="291"/>
      <c r="H18" s="172" t="str">
        <f>IF(②個人種目申込!I14="","",②個人種目申込!I14)</f>
        <v/>
      </c>
      <c r="I18" s="175" t="str">
        <f>IF(②個人種目申込!J14="","",②個人種目申込!J14)</f>
        <v/>
      </c>
      <c r="J18" s="176" t="str">
        <f>IF(I18="","",IF(②個人種目申込!K14="00","",ASC(②個人種目申込!K14)&amp;"分")&amp;ASC(②個人種目申込!L14)&amp;"秒"&amp;ASC(②個人種目申込!M14))</f>
        <v/>
      </c>
      <c r="K18" s="172" t="str">
        <f>IF(②個人種目申込!N14="","",②個人種目申込!N14)</f>
        <v/>
      </c>
      <c r="L18" s="177" t="str">
        <f>IF(②個人種目申込!O14="","",②個人種目申込!O14)</f>
        <v/>
      </c>
      <c r="M18" s="178" t="str">
        <f>IF(L18="","",IF(②個人種目申込!P14="00","",ASC(②個人種目申込!P14)&amp;"分")&amp;ASC(②個人種目申込!Q14)&amp;"秒"&amp;ASC(②個人種目申込!R14))</f>
        <v/>
      </c>
    </row>
    <row r="19" spans="2:13" ht="15" customHeight="1">
      <c r="B19" s="172" t="str">
        <f>IF(②個人種目申込!B15="","",②個人種目申込!B15)</f>
        <v/>
      </c>
      <c r="C19" s="173" t="str">
        <f>IF(②個人種目申込!C15="","",ASC(②個人種目申込!C15))</f>
        <v/>
      </c>
      <c r="D19" s="174" t="str">
        <f>IF(B19="","",②個人種目申込!A15)</f>
        <v/>
      </c>
      <c r="E19" s="174" t="str">
        <f>IF(②個人種目申込!G15="","",②個人種目申込!G15)</f>
        <v/>
      </c>
      <c r="F19" s="290" t="str">
        <f>IF(②個人種目申込!B15="","",②個人種目申込!D15&amp;"年"&amp;②個人種目申込!E15&amp;"月"&amp;②個人種目申込!F15&amp;"日")</f>
        <v/>
      </c>
      <c r="G19" s="291"/>
      <c r="H19" s="172" t="str">
        <f>IF(②個人種目申込!I15="","",②個人種目申込!I15)</f>
        <v/>
      </c>
      <c r="I19" s="175" t="str">
        <f>IF(②個人種目申込!J15="","",②個人種目申込!J15)</f>
        <v/>
      </c>
      <c r="J19" s="176" t="str">
        <f>IF(I19="","",IF(②個人種目申込!K15="00","",ASC(②個人種目申込!K15)&amp;"分")&amp;ASC(②個人種目申込!L15)&amp;"秒"&amp;ASC(②個人種目申込!M15))</f>
        <v/>
      </c>
      <c r="K19" s="172" t="str">
        <f>IF(②個人種目申込!N15="","",②個人種目申込!N15)</f>
        <v/>
      </c>
      <c r="L19" s="177" t="str">
        <f>IF(②個人種目申込!O15="","",②個人種目申込!O15)</f>
        <v/>
      </c>
      <c r="M19" s="178" t="str">
        <f>IF(L19="","",IF(②個人種目申込!P15="00","",ASC(②個人種目申込!P15)&amp;"分")&amp;ASC(②個人種目申込!Q15)&amp;"秒"&amp;ASC(②個人種目申込!R15))</f>
        <v/>
      </c>
    </row>
    <row r="20" spans="2:13" ht="15" customHeight="1">
      <c r="B20" s="172" t="str">
        <f>IF(②個人種目申込!B16="","",②個人種目申込!B16)</f>
        <v/>
      </c>
      <c r="C20" s="173" t="str">
        <f>IF(②個人種目申込!C16="","",ASC(②個人種目申込!C16))</f>
        <v/>
      </c>
      <c r="D20" s="174" t="str">
        <f>IF(B20="","",②個人種目申込!A16)</f>
        <v/>
      </c>
      <c r="E20" s="174" t="str">
        <f>IF(②個人種目申込!G16="","",②個人種目申込!G16)</f>
        <v/>
      </c>
      <c r="F20" s="290" t="str">
        <f>IF(②個人種目申込!B16="","",②個人種目申込!D16&amp;"年"&amp;②個人種目申込!E16&amp;"月"&amp;②個人種目申込!F16&amp;"日")</f>
        <v/>
      </c>
      <c r="G20" s="291"/>
      <c r="H20" s="172" t="str">
        <f>IF(②個人種目申込!I16="","",②個人種目申込!I16)</f>
        <v/>
      </c>
      <c r="I20" s="175" t="str">
        <f>IF(②個人種目申込!J16="","",②個人種目申込!J16)</f>
        <v/>
      </c>
      <c r="J20" s="176" t="str">
        <f>IF(I20="","",IF(②個人種目申込!K16="00","",ASC(②個人種目申込!K16)&amp;"分")&amp;ASC(②個人種目申込!L16)&amp;"秒"&amp;ASC(②個人種目申込!M16))</f>
        <v/>
      </c>
      <c r="K20" s="172" t="str">
        <f>IF(②個人種目申込!N16="","",②個人種目申込!N16)</f>
        <v/>
      </c>
      <c r="L20" s="177" t="str">
        <f>IF(②個人種目申込!O16="","",②個人種目申込!O16)</f>
        <v/>
      </c>
      <c r="M20" s="178" t="str">
        <f>IF(L20="","",IF(②個人種目申込!P16="00","",ASC(②個人種目申込!P16)&amp;"分")&amp;ASC(②個人種目申込!Q16)&amp;"秒"&amp;ASC(②個人種目申込!R16))</f>
        <v/>
      </c>
    </row>
    <row r="21" spans="2:13" ht="15" customHeight="1">
      <c r="B21" s="172" t="str">
        <f>IF(②個人種目申込!B17="","",②個人種目申込!B17)</f>
        <v/>
      </c>
      <c r="C21" s="173" t="str">
        <f>IF(②個人種目申込!C17="","",ASC(②個人種目申込!C17))</f>
        <v/>
      </c>
      <c r="D21" s="174" t="str">
        <f>IF(B21="","",②個人種目申込!A17)</f>
        <v/>
      </c>
      <c r="E21" s="174" t="str">
        <f>IF(②個人種目申込!G17="","",②個人種目申込!G17)</f>
        <v/>
      </c>
      <c r="F21" s="290" t="str">
        <f>IF(②個人種目申込!B17="","",②個人種目申込!D17&amp;"年"&amp;②個人種目申込!E17&amp;"月"&amp;②個人種目申込!F17&amp;"日")</f>
        <v/>
      </c>
      <c r="G21" s="291"/>
      <c r="H21" s="172" t="str">
        <f>IF(②個人種目申込!I17="","",②個人種目申込!I17)</f>
        <v/>
      </c>
      <c r="I21" s="175" t="str">
        <f>IF(②個人種目申込!J17="","",②個人種目申込!J17)</f>
        <v/>
      </c>
      <c r="J21" s="176" t="str">
        <f>IF(I21="","",IF(②個人種目申込!K17="00","",ASC(②個人種目申込!K17)&amp;"分")&amp;ASC(②個人種目申込!L17)&amp;"秒"&amp;ASC(②個人種目申込!M17))</f>
        <v/>
      </c>
      <c r="K21" s="172" t="str">
        <f>IF(②個人種目申込!N17="","",②個人種目申込!N17)</f>
        <v/>
      </c>
      <c r="L21" s="177" t="str">
        <f>IF(②個人種目申込!O17="","",②個人種目申込!O17)</f>
        <v/>
      </c>
      <c r="M21" s="178" t="str">
        <f>IF(L21="","",IF(②個人種目申込!P17="00","",ASC(②個人種目申込!P17)&amp;"分")&amp;ASC(②個人種目申込!Q17)&amp;"秒"&amp;ASC(②個人種目申込!R17))</f>
        <v/>
      </c>
    </row>
    <row r="22" spans="2:13" ht="15" customHeight="1">
      <c r="B22" s="172" t="str">
        <f>IF(②個人種目申込!B18="","",②個人種目申込!B18)</f>
        <v/>
      </c>
      <c r="C22" s="173" t="str">
        <f>IF(②個人種目申込!C18="","",ASC(②個人種目申込!C18))</f>
        <v/>
      </c>
      <c r="D22" s="174" t="str">
        <f>IF(B22="","",②個人種目申込!A18)</f>
        <v/>
      </c>
      <c r="E22" s="174" t="str">
        <f>IF(②個人種目申込!G18="","",②個人種目申込!G18)</f>
        <v/>
      </c>
      <c r="F22" s="290" t="str">
        <f>IF(②個人種目申込!B18="","",②個人種目申込!D18&amp;"年"&amp;②個人種目申込!E18&amp;"月"&amp;②個人種目申込!F18&amp;"日")</f>
        <v/>
      </c>
      <c r="G22" s="291"/>
      <c r="H22" s="172" t="str">
        <f>IF(②個人種目申込!I18="","",②個人種目申込!I18)</f>
        <v/>
      </c>
      <c r="I22" s="175" t="str">
        <f>IF(②個人種目申込!J18="","",②個人種目申込!J18)</f>
        <v/>
      </c>
      <c r="J22" s="176" t="str">
        <f>IF(I22="","",IF(②個人種目申込!K18="00","",ASC(②個人種目申込!K18)&amp;"分")&amp;ASC(②個人種目申込!L18)&amp;"秒"&amp;ASC(②個人種目申込!M18))</f>
        <v/>
      </c>
      <c r="K22" s="172" t="str">
        <f>IF(②個人種目申込!N18="","",②個人種目申込!N18)</f>
        <v/>
      </c>
      <c r="L22" s="177" t="str">
        <f>IF(②個人種目申込!O18="","",②個人種目申込!O18)</f>
        <v/>
      </c>
      <c r="M22" s="178" t="str">
        <f>IF(L22="","",IF(②個人種目申込!P18="00","",ASC(②個人種目申込!P18)&amp;"分")&amp;ASC(②個人種目申込!Q18)&amp;"秒"&amp;ASC(②個人種目申込!R18))</f>
        <v/>
      </c>
    </row>
    <row r="23" spans="2:13" ht="15" customHeight="1">
      <c r="B23" s="172" t="str">
        <f>IF(②個人種目申込!B19="","",②個人種目申込!B19)</f>
        <v/>
      </c>
      <c r="C23" s="173" t="str">
        <f>IF(②個人種目申込!C19="","",ASC(②個人種目申込!C19))</f>
        <v/>
      </c>
      <c r="D23" s="174" t="str">
        <f>IF(B23="","",②個人種目申込!A19)</f>
        <v/>
      </c>
      <c r="E23" s="174" t="str">
        <f>IF(②個人種目申込!G19="","",②個人種目申込!G19)</f>
        <v/>
      </c>
      <c r="F23" s="290" t="str">
        <f>IF(②個人種目申込!B19="","",②個人種目申込!D19&amp;"年"&amp;②個人種目申込!E19&amp;"月"&amp;②個人種目申込!F19&amp;"日")</f>
        <v/>
      </c>
      <c r="G23" s="291"/>
      <c r="H23" s="172" t="str">
        <f>IF(②個人種目申込!I19="","",②個人種目申込!I19)</f>
        <v/>
      </c>
      <c r="I23" s="175" t="str">
        <f>IF(②個人種目申込!J19="","",②個人種目申込!J19)</f>
        <v/>
      </c>
      <c r="J23" s="176" t="str">
        <f>IF(I23="","",IF(②個人種目申込!K19="00","",ASC(②個人種目申込!K19)&amp;"分")&amp;ASC(②個人種目申込!L19)&amp;"秒"&amp;ASC(②個人種目申込!M19))</f>
        <v/>
      </c>
      <c r="K23" s="172" t="str">
        <f>IF(②個人種目申込!N19="","",②個人種目申込!N19)</f>
        <v/>
      </c>
      <c r="L23" s="177" t="str">
        <f>IF(②個人種目申込!O19="","",②個人種目申込!O19)</f>
        <v/>
      </c>
      <c r="M23" s="178" t="str">
        <f>IF(L23="","",IF(②個人種目申込!P19="00","",ASC(②個人種目申込!P19)&amp;"分")&amp;ASC(②個人種目申込!Q19)&amp;"秒"&amp;ASC(②個人種目申込!R19))</f>
        <v/>
      </c>
    </row>
    <row r="24" spans="2:13" ht="15" customHeight="1">
      <c r="B24" s="172" t="str">
        <f>IF(②個人種目申込!B20="","",②個人種目申込!B20)</f>
        <v/>
      </c>
      <c r="C24" s="173" t="str">
        <f>IF(②個人種目申込!C20="","",ASC(②個人種目申込!C20))</f>
        <v/>
      </c>
      <c r="D24" s="174" t="str">
        <f>IF(B24="","",②個人種目申込!A20)</f>
        <v/>
      </c>
      <c r="E24" s="174" t="str">
        <f>IF(②個人種目申込!G20="","",②個人種目申込!G20)</f>
        <v/>
      </c>
      <c r="F24" s="290" t="str">
        <f>IF(②個人種目申込!B20="","",②個人種目申込!D20&amp;"年"&amp;②個人種目申込!E20&amp;"月"&amp;②個人種目申込!F20&amp;"日")</f>
        <v/>
      </c>
      <c r="G24" s="291"/>
      <c r="H24" s="172" t="str">
        <f>IF(②個人種目申込!I20="","",②個人種目申込!I20)</f>
        <v/>
      </c>
      <c r="I24" s="175" t="str">
        <f>IF(②個人種目申込!J20="","",②個人種目申込!J20)</f>
        <v/>
      </c>
      <c r="J24" s="176" t="str">
        <f>IF(I24="","",IF(②個人種目申込!K20="00","",ASC(②個人種目申込!K20)&amp;"分")&amp;ASC(②個人種目申込!L20)&amp;"秒"&amp;ASC(②個人種目申込!M20))</f>
        <v/>
      </c>
      <c r="K24" s="172" t="str">
        <f>IF(②個人種目申込!N20="","",②個人種目申込!N20)</f>
        <v/>
      </c>
      <c r="L24" s="177" t="str">
        <f>IF(②個人種目申込!O20="","",②個人種目申込!O20)</f>
        <v/>
      </c>
      <c r="M24" s="178" t="str">
        <f>IF(L24="","",IF(②個人種目申込!P20="00","",ASC(②個人種目申込!P20)&amp;"分")&amp;ASC(②個人種目申込!Q20)&amp;"秒"&amp;ASC(②個人種目申込!R20))</f>
        <v/>
      </c>
    </row>
    <row r="25" spans="2:13" ht="15" customHeight="1">
      <c r="B25" s="172" t="str">
        <f>IF(②個人種目申込!B21="","",②個人種目申込!B21)</f>
        <v/>
      </c>
      <c r="C25" s="173" t="str">
        <f>IF(②個人種目申込!C21="","",ASC(②個人種目申込!C21))</f>
        <v/>
      </c>
      <c r="D25" s="174" t="str">
        <f>IF(B25="","",②個人種目申込!A21)</f>
        <v/>
      </c>
      <c r="E25" s="174" t="str">
        <f>IF(②個人種目申込!G21="","",②個人種目申込!G21)</f>
        <v/>
      </c>
      <c r="F25" s="290" t="str">
        <f>IF(②個人種目申込!B21="","",②個人種目申込!D21&amp;"年"&amp;②個人種目申込!E21&amp;"月"&amp;②個人種目申込!F21&amp;"日")</f>
        <v/>
      </c>
      <c r="G25" s="291"/>
      <c r="H25" s="172" t="str">
        <f>IF(②個人種目申込!I21="","",②個人種目申込!I21)</f>
        <v/>
      </c>
      <c r="I25" s="175" t="str">
        <f>IF(②個人種目申込!J21="","",②個人種目申込!J21)</f>
        <v/>
      </c>
      <c r="J25" s="176" t="str">
        <f>IF(I25="","",IF(②個人種目申込!K21="00","",ASC(②個人種目申込!K21)&amp;"分")&amp;ASC(②個人種目申込!L21)&amp;"秒"&amp;ASC(②個人種目申込!M21))</f>
        <v/>
      </c>
      <c r="K25" s="172" t="str">
        <f>IF(②個人種目申込!N21="","",②個人種目申込!N21)</f>
        <v/>
      </c>
      <c r="L25" s="177" t="str">
        <f>IF(②個人種目申込!O21="","",②個人種目申込!O21)</f>
        <v/>
      </c>
      <c r="M25" s="178" t="str">
        <f>IF(L25="","",IF(②個人種目申込!P21="00","",ASC(②個人種目申込!P21)&amp;"分")&amp;ASC(②個人種目申込!Q21)&amp;"秒"&amp;ASC(②個人種目申込!R21))</f>
        <v/>
      </c>
    </row>
    <row r="26" spans="2:13" ht="15" customHeight="1">
      <c r="B26" s="172" t="str">
        <f>IF(②個人種目申込!B22="","",②個人種目申込!B22)</f>
        <v/>
      </c>
      <c r="C26" s="173" t="str">
        <f>IF(②個人種目申込!C22="","",ASC(②個人種目申込!C22))</f>
        <v/>
      </c>
      <c r="D26" s="174" t="str">
        <f>IF(B26="","",②個人種目申込!A22)</f>
        <v/>
      </c>
      <c r="E26" s="174" t="str">
        <f>IF(②個人種目申込!G22="","",②個人種目申込!G22)</f>
        <v/>
      </c>
      <c r="F26" s="290" t="str">
        <f>IF(②個人種目申込!B22="","",②個人種目申込!D22&amp;"年"&amp;②個人種目申込!E22&amp;"月"&amp;②個人種目申込!F22&amp;"日")</f>
        <v/>
      </c>
      <c r="G26" s="291"/>
      <c r="H26" s="172" t="str">
        <f>IF(②個人種目申込!I22="","",②個人種目申込!I22)</f>
        <v/>
      </c>
      <c r="I26" s="175" t="str">
        <f>IF(②個人種目申込!J22="","",②個人種目申込!J22)</f>
        <v/>
      </c>
      <c r="J26" s="176" t="str">
        <f>IF(I26="","",IF(②個人種目申込!K22="00","",ASC(②個人種目申込!K22)&amp;"分")&amp;ASC(②個人種目申込!L22)&amp;"秒"&amp;ASC(②個人種目申込!M22))</f>
        <v/>
      </c>
      <c r="K26" s="172" t="str">
        <f>IF(②個人種目申込!N22="","",②個人種目申込!N22)</f>
        <v/>
      </c>
      <c r="L26" s="177" t="str">
        <f>IF(②個人種目申込!O22="","",②個人種目申込!O22)</f>
        <v/>
      </c>
      <c r="M26" s="178" t="str">
        <f>IF(L26="","",IF(②個人種目申込!P22="00","",ASC(②個人種目申込!P22)&amp;"分")&amp;ASC(②個人種目申込!Q22)&amp;"秒"&amp;ASC(②個人種目申込!R22))</f>
        <v/>
      </c>
    </row>
    <row r="27" spans="2:13" ht="15" customHeight="1">
      <c r="B27" s="172" t="str">
        <f>IF(②個人種目申込!B23="","",②個人種目申込!B23)</f>
        <v/>
      </c>
      <c r="C27" s="173" t="str">
        <f>IF(②個人種目申込!C23="","",ASC(②個人種目申込!C23))</f>
        <v/>
      </c>
      <c r="D27" s="174" t="str">
        <f>IF(B27="","",②個人種目申込!A23)</f>
        <v/>
      </c>
      <c r="E27" s="174" t="str">
        <f>IF(②個人種目申込!G23="","",②個人種目申込!G23)</f>
        <v/>
      </c>
      <c r="F27" s="290" t="str">
        <f>IF(②個人種目申込!B23="","",②個人種目申込!D23&amp;"年"&amp;②個人種目申込!E23&amp;"月"&amp;②個人種目申込!F23&amp;"日")</f>
        <v/>
      </c>
      <c r="G27" s="291"/>
      <c r="H27" s="172" t="str">
        <f>IF(②個人種目申込!I23="","",②個人種目申込!I23)</f>
        <v/>
      </c>
      <c r="I27" s="175" t="str">
        <f>IF(②個人種目申込!J23="","",②個人種目申込!J23)</f>
        <v/>
      </c>
      <c r="J27" s="176" t="str">
        <f>IF(I27="","",IF(②個人種目申込!K23="00","",ASC(②個人種目申込!K23)&amp;"分")&amp;ASC(②個人種目申込!L23)&amp;"秒"&amp;ASC(②個人種目申込!M23))</f>
        <v/>
      </c>
      <c r="K27" s="172" t="str">
        <f>IF(②個人種目申込!N23="","",②個人種目申込!N23)</f>
        <v/>
      </c>
      <c r="L27" s="177" t="str">
        <f>IF(②個人種目申込!O23="","",②個人種目申込!O23)</f>
        <v/>
      </c>
      <c r="M27" s="178" t="str">
        <f>IF(L27="","",IF(②個人種目申込!P23="00","",ASC(②個人種目申込!P23)&amp;"分")&amp;ASC(②個人種目申込!Q23)&amp;"秒"&amp;ASC(②個人種目申込!R23))</f>
        <v/>
      </c>
    </row>
    <row r="28" spans="2:13" ht="15" customHeight="1">
      <c r="B28" s="172" t="str">
        <f>IF(②個人種目申込!B24="","",②個人種目申込!B24)</f>
        <v/>
      </c>
      <c r="C28" s="173" t="str">
        <f>IF(②個人種目申込!C24="","",ASC(②個人種目申込!C24))</f>
        <v/>
      </c>
      <c r="D28" s="174" t="str">
        <f>IF(B28="","",②個人種目申込!A24)</f>
        <v/>
      </c>
      <c r="E28" s="174" t="str">
        <f>IF(②個人種目申込!G24="","",②個人種目申込!G24)</f>
        <v/>
      </c>
      <c r="F28" s="290" t="str">
        <f>IF(②個人種目申込!B24="","",②個人種目申込!D24&amp;"年"&amp;②個人種目申込!E24&amp;"月"&amp;②個人種目申込!F24&amp;"日")</f>
        <v/>
      </c>
      <c r="G28" s="291"/>
      <c r="H28" s="172" t="str">
        <f>IF(②個人種目申込!I24="","",②個人種目申込!I24)</f>
        <v/>
      </c>
      <c r="I28" s="175" t="str">
        <f>IF(②個人種目申込!J24="","",②個人種目申込!J24)</f>
        <v/>
      </c>
      <c r="J28" s="176" t="str">
        <f>IF(I28="","",IF(②個人種目申込!K24="00","",ASC(②個人種目申込!K24)&amp;"分")&amp;ASC(②個人種目申込!L24)&amp;"秒"&amp;ASC(②個人種目申込!M24))</f>
        <v/>
      </c>
      <c r="K28" s="172" t="str">
        <f>IF(②個人種目申込!N24="","",②個人種目申込!N24)</f>
        <v/>
      </c>
      <c r="L28" s="177" t="str">
        <f>IF(②個人種目申込!O24="","",②個人種目申込!O24)</f>
        <v/>
      </c>
      <c r="M28" s="178" t="str">
        <f>IF(L28="","",IF(②個人種目申込!P24="00","",ASC(②個人種目申込!P24)&amp;"分")&amp;ASC(②個人種目申込!Q24)&amp;"秒"&amp;ASC(②個人種目申込!R24))</f>
        <v/>
      </c>
    </row>
    <row r="29" spans="2:13" ht="15" customHeight="1">
      <c r="B29" s="172" t="str">
        <f>IF(②個人種目申込!B25="","",②個人種目申込!B25)</f>
        <v/>
      </c>
      <c r="C29" s="173" t="str">
        <f>IF(②個人種目申込!C25="","",ASC(②個人種目申込!C25))</f>
        <v/>
      </c>
      <c r="D29" s="174" t="str">
        <f>IF(B29="","",②個人種目申込!A25)</f>
        <v/>
      </c>
      <c r="E29" s="174" t="str">
        <f>IF(②個人種目申込!G25="","",②個人種目申込!G25)</f>
        <v/>
      </c>
      <c r="F29" s="290" t="str">
        <f>IF(②個人種目申込!B25="","",②個人種目申込!D25&amp;"年"&amp;②個人種目申込!E25&amp;"月"&amp;②個人種目申込!F25&amp;"日")</f>
        <v/>
      </c>
      <c r="G29" s="291"/>
      <c r="H29" s="172" t="str">
        <f>IF(②個人種目申込!I25="","",②個人種目申込!I25)</f>
        <v/>
      </c>
      <c r="I29" s="175" t="str">
        <f>IF(②個人種目申込!J25="","",②個人種目申込!J25)</f>
        <v/>
      </c>
      <c r="J29" s="176" t="str">
        <f>IF(I29="","",IF(②個人種目申込!K25="00","",ASC(②個人種目申込!K25)&amp;"分")&amp;ASC(②個人種目申込!L25)&amp;"秒"&amp;ASC(②個人種目申込!M25))</f>
        <v/>
      </c>
      <c r="K29" s="172" t="str">
        <f>IF(②個人種目申込!N25="","",②個人種目申込!N25)</f>
        <v/>
      </c>
      <c r="L29" s="177" t="str">
        <f>IF(②個人種目申込!O25="","",②個人種目申込!O25)</f>
        <v/>
      </c>
      <c r="M29" s="178" t="str">
        <f>IF(L29="","",IF(②個人種目申込!P25="00","",ASC(②個人種目申込!P25)&amp;"分")&amp;ASC(②個人種目申込!Q25)&amp;"秒"&amp;ASC(②個人種目申込!R25))</f>
        <v/>
      </c>
    </row>
    <row r="30" spans="2:13" ht="15" customHeight="1">
      <c r="B30" s="172" t="str">
        <f>IF(②個人種目申込!B26="","",②個人種目申込!B26)</f>
        <v/>
      </c>
      <c r="C30" s="173" t="str">
        <f>IF(②個人種目申込!C26="","",ASC(②個人種目申込!C26))</f>
        <v/>
      </c>
      <c r="D30" s="174" t="str">
        <f>IF(B30="","",②個人種目申込!A26)</f>
        <v/>
      </c>
      <c r="E30" s="174" t="str">
        <f>IF(②個人種目申込!G26="","",②個人種目申込!G26)</f>
        <v/>
      </c>
      <c r="F30" s="290" t="str">
        <f>IF(②個人種目申込!B26="","",②個人種目申込!D26&amp;"年"&amp;②個人種目申込!E26&amp;"月"&amp;②個人種目申込!F26&amp;"日")</f>
        <v/>
      </c>
      <c r="G30" s="291"/>
      <c r="H30" s="172" t="str">
        <f>IF(②個人種目申込!I26="","",②個人種目申込!I26)</f>
        <v/>
      </c>
      <c r="I30" s="175" t="str">
        <f>IF(②個人種目申込!J26="","",②個人種目申込!J26)</f>
        <v/>
      </c>
      <c r="J30" s="176" t="str">
        <f>IF(I30="","",IF(②個人種目申込!K26="00","",ASC(②個人種目申込!K26)&amp;"分")&amp;ASC(②個人種目申込!L26)&amp;"秒"&amp;ASC(②個人種目申込!M26))</f>
        <v/>
      </c>
      <c r="K30" s="172" t="str">
        <f>IF(②個人種目申込!N26="","",②個人種目申込!N26)</f>
        <v/>
      </c>
      <c r="L30" s="177" t="str">
        <f>IF(②個人種目申込!O26="","",②個人種目申込!O26)</f>
        <v/>
      </c>
      <c r="M30" s="178" t="str">
        <f>IF(L30="","",IF(②個人種目申込!P26="00","",ASC(②個人種目申込!P26)&amp;"分")&amp;ASC(②個人種目申込!Q26)&amp;"秒"&amp;ASC(②個人種目申込!R26))</f>
        <v/>
      </c>
    </row>
    <row r="31" spans="2:13" ht="15" customHeight="1">
      <c r="B31" s="172" t="str">
        <f>IF(②個人種目申込!B27="","",②個人種目申込!B27)</f>
        <v/>
      </c>
      <c r="C31" s="173" t="str">
        <f>IF(②個人種目申込!C27="","",ASC(②個人種目申込!C27))</f>
        <v/>
      </c>
      <c r="D31" s="174" t="str">
        <f>IF(B31="","",②個人種目申込!A27)</f>
        <v/>
      </c>
      <c r="E31" s="174" t="str">
        <f>IF(②個人種目申込!G27="","",②個人種目申込!G27)</f>
        <v/>
      </c>
      <c r="F31" s="290" t="str">
        <f>IF(②個人種目申込!B27="","",②個人種目申込!D27&amp;"年"&amp;②個人種目申込!E27&amp;"月"&amp;②個人種目申込!F27&amp;"日")</f>
        <v/>
      </c>
      <c r="G31" s="291"/>
      <c r="H31" s="172" t="str">
        <f>IF(②個人種目申込!I27="","",②個人種目申込!I27)</f>
        <v/>
      </c>
      <c r="I31" s="175" t="str">
        <f>IF(②個人種目申込!J27="","",②個人種目申込!J27)</f>
        <v/>
      </c>
      <c r="J31" s="176" t="str">
        <f>IF(I31="","",IF(②個人種目申込!K27="00","",ASC(②個人種目申込!K27)&amp;"分")&amp;ASC(②個人種目申込!L27)&amp;"秒"&amp;ASC(②個人種目申込!M27))</f>
        <v/>
      </c>
      <c r="K31" s="172" t="str">
        <f>IF(②個人種目申込!N27="","",②個人種目申込!N27)</f>
        <v/>
      </c>
      <c r="L31" s="177" t="str">
        <f>IF(②個人種目申込!O27="","",②個人種目申込!O27)</f>
        <v/>
      </c>
      <c r="M31" s="178" t="str">
        <f>IF(L31="","",IF(②個人種目申込!P27="00","",ASC(②個人種目申込!P27)&amp;"分")&amp;ASC(②個人種目申込!Q27)&amp;"秒"&amp;ASC(②個人種目申込!R27))</f>
        <v/>
      </c>
    </row>
    <row r="32" spans="2:13" ht="15" customHeight="1">
      <c r="B32" s="172" t="str">
        <f>IF(②個人種目申込!B28="","",②個人種目申込!B28)</f>
        <v/>
      </c>
      <c r="C32" s="173" t="str">
        <f>IF(②個人種目申込!C28="","",ASC(②個人種目申込!C28))</f>
        <v/>
      </c>
      <c r="D32" s="174" t="str">
        <f>IF(B32="","",②個人種目申込!A28)</f>
        <v/>
      </c>
      <c r="E32" s="174" t="str">
        <f>IF(②個人種目申込!G28="","",②個人種目申込!G28)</f>
        <v/>
      </c>
      <c r="F32" s="290" t="str">
        <f>IF(②個人種目申込!B28="","",②個人種目申込!D28&amp;"年"&amp;②個人種目申込!E28&amp;"月"&amp;②個人種目申込!F28&amp;"日")</f>
        <v/>
      </c>
      <c r="G32" s="291"/>
      <c r="H32" s="172" t="str">
        <f>IF(②個人種目申込!I28="","",②個人種目申込!I28)</f>
        <v/>
      </c>
      <c r="I32" s="175" t="str">
        <f>IF(②個人種目申込!J28="","",②個人種目申込!J28)</f>
        <v/>
      </c>
      <c r="J32" s="176" t="str">
        <f>IF(I32="","",IF(②個人種目申込!K28="00","",ASC(②個人種目申込!K28)&amp;"分")&amp;ASC(②個人種目申込!L28)&amp;"秒"&amp;ASC(②個人種目申込!M28))</f>
        <v/>
      </c>
      <c r="K32" s="172" t="str">
        <f>IF(②個人種目申込!N28="","",②個人種目申込!N28)</f>
        <v/>
      </c>
      <c r="L32" s="177" t="str">
        <f>IF(②個人種目申込!O28="","",②個人種目申込!O28)</f>
        <v/>
      </c>
      <c r="M32" s="178" t="str">
        <f>IF(L32="","",IF(②個人種目申込!P28="00","",ASC(②個人種目申込!P28)&amp;"分")&amp;ASC(②個人種目申込!Q28)&amp;"秒"&amp;ASC(②個人種目申込!R28))</f>
        <v/>
      </c>
    </row>
    <row r="33" spans="2:14" ht="15" customHeight="1">
      <c r="B33" s="172" t="str">
        <f>IF(②個人種目申込!B29="","",②個人種目申込!B29)</f>
        <v/>
      </c>
      <c r="C33" s="173" t="str">
        <f>IF(②個人種目申込!C29="","",ASC(②個人種目申込!C29))</f>
        <v/>
      </c>
      <c r="D33" s="174" t="str">
        <f>IF(B33="","",②個人種目申込!A29)</f>
        <v/>
      </c>
      <c r="E33" s="174" t="str">
        <f>IF(②個人種目申込!G29="","",②個人種目申込!G29)</f>
        <v/>
      </c>
      <c r="F33" s="290" t="str">
        <f>IF(②個人種目申込!B29="","",②個人種目申込!D29&amp;"年"&amp;②個人種目申込!E29&amp;"月"&amp;②個人種目申込!F29&amp;"日")</f>
        <v/>
      </c>
      <c r="G33" s="291"/>
      <c r="H33" s="172" t="str">
        <f>IF(②個人種目申込!I29="","",②個人種目申込!I29)</f>
        <v/>
      </c>
      <c r="I33" s="175" t="str">
        <f>IF(②個人種目申込!J29="","",②個人種目申込!J29)</f>
        <v/>
      </c>
      <c r="J33" s="176" t="str">
        <f>IF(I33="","",IF(②個人種目申込!K29="00","",ASC(②個人種目申込!K29)&amp;"分")&amp;ASC(②個人種目申込!L29)&amp;"秒"&amp;ASC(②個人種目申込!M29))</f>
        <v/>
      </c>
      <c r="K33" s="172" t="str">
        <f>IF(②個人種目申込!N29="","",②個人種目申込!N29)</f>
        <v/>
      </c>
      <c r="L33" s="177" t="str">
        <f>IF(②個人種目申込!O29="","",②個人種目申込!O29)</f>
        <v/>
      </c>
      <c r="M33" s="178" t="str">
        <f>IF(L33="","",IF(②個人種目申込!P29="00","",ASC(②個人種目申込!P29)&amp;"分")&amp;ASC(②個人種目申込!Q29)&amp;"秒"&amp;ASC(②個人種目申込!R29))</f>
        <v/>
      </c>
    </row>
    <row r="34" spans="2:14" ht="15" customHeight="1">
      <c r="B34" s="172" t="str">
        <f>IF(②個人種目申込!B30="","",②個人種目申込!B30)</f>
        <v/>
      </c>
      <c r="C34" s="173" t="str">
        <f>IF(②個人種目申込!C30="","",ASC(②個人種目申込!C30))</f>
        <v/>
      </c>
      <c r="D34" s="174" t="str">
        <f>IF(B34="","",②個人種目申込!A30)</f>
        <v/>
      </c>
      <c r="E34" s="174" t="str">
        <f>IF(②個人種目申込!G30="","",②個人種目申込!G30)</f>
        <v/>
      </c>
      <c r="F34" s="290" t="str">
        <f>IF(②個人種目申込!B30="","",②個人種目申込!D30&amp;"年"&amp;②個人種目申込!E30&amp;"月"&amp;②個人種目申込!F30&amp;"日")</f>
        <v/>
      </c>
      <c r="G34" s="291"/>
      <c r="H34" s="172" t="str">
        <f>IF(②個人種目申込!I30="","",②個人種目申込!I30)</f>
        <v/>
      </c>
      <c r="I34" s="175" t="str">
        <f>IF(②個人種目申込!J30="","",②個人種目申込!J30)</f>
        <v/>
      </c>
      <c r="J34" s="176" t="str">
        <f>IF(I34="","",IF(②個人種目申込!K30="00","",ASC(②個人種目申込!K30)&amp;"分")&amp;ASC(②個人種目申込!L30)&amp;"秒"&amp;ASC(②個人種目申込!M30))</f>
        <v/>
      </c>
      <c r="K34" s="172" t="str">
        <f>IF(②個人種目申込!N30="","",②個人種目申込!N30)</f>
        <v/>
      </c>
      <c r="L34" s="177" t="str">
        <f>IF(②個人種目申込!O30="","",②個人種目申込!O30)</f>
        <v/>
      </c>
      <c r="M34" s="178" t="str">
        <f>IF(L34="","",IF(②個人種目申込!P30="00","",ASC(②個人種目申込!P30)&amp;"分")&amp;ASC(②個人種目申込!Q30)&amp;"秒"&amp;ASC(②個人種目申込!R30))</f>
        <v/>
      </c>
    </row>
    <row r="35" spans="2:14" ht="15" customHeight="1">
      <c r="B35" s="172" t="str">
        <f>IF(②個人種目申込!B31="","",②個人種目申込!B31)</f>
        <v/>
      </c>
      <c r="C35" s="173" t="str">
        <f>IF(②個人種目申込!C31="","",ASC(②個人種目申込!C31))</f>
        <v/>
      </c>
      <c r="D35" s="174" t="str">
        <f>IF(B35="","",②個人種目申込!A31)</f>
        <v/>
      </c>
      <c r="E35" s="174" t="str">
        <f>IF(②個人種目申込!G31="","",②個人種目申込!G31)</f>
        <v/>
      </c>
      <c r="F35" s="290" t="str">
        <f>IF(②個人種目申込!B31="","",②個人種目申込!D31&amp;"年"&amp;②個人種目申込!E31&amp;"月"&amp;②個人種目申込!F31&amp;"日")</f>
        <v/>
      </c>
      <c r="G35" s="291"/>
      <c r="H35" s="172" t="str">
        <f>IF(②個人種目申込!I31="","",②個人種目申込!I31)</f>
        <v/>
      </c>
      <c r="I35" s="175" t="str">
        <f>IF(②個人種目申込!J31="","",②個人種目申込!J31)</f>
        <v/>
      </c>
      <c r="J35" s="176" t="str">
        <f>IF(I35="","",IF(②個人種目申込!K31="00","",ASC(②個人種目申込!K31)&amp;"分")&amp;ASC(②個人種目申込!L31)&amp;"秒"&amp;ASC(②個人種目申込!M31))</f>
        <v/>
      </c>
      <c r="K35" s="172" t="str">
        <f>IF(②個人種目申込!N31="","",②個人種目申込!N31)</f>
        <v/>
      </c>
      <c r="L35" s="177" t="str">
        <f>IF(②個人種目申込!O31="","",②個人種目申込!O31)</f>
        <v/>
      </c>
      <c r="M35" s="178" t="str">
        <f>IF(L35="","",IF(②個人種目申込!P31="00","",ASC(②個人種目申込!P31)&amp;"分")&amp;ASC(②個人種目申込!Q31)&amp;"秒"&amp;ASC(②個人種目申込!R31))</f>
        <v/>
      </c>
    </row>
    <row r="36" spans="2:14" ht="15" customHeight="1" thickBot="1">
      <c r="B36" s="179" t="str">
        <f>IF(②個人種目申込!B32="","",②個人種目申込!B32)</f>
        <v/>
      </c>
      <c r="C36" s="180" t="str">
        <f>IF(②個人種目申込!C32="","",ASC(②個人種目申込!C32))</f>
        <v/>
      </c>
      <c r="D36" s="181" t="str">
        <f>IF(B36="","",②個人種目申込!A32)</f>
        <v/>
      </c>
      <c r="E36" s="181" t="str">
        <f>IF(②個人種目申込!G32="","",②個人種目申込!G32)</f>
        <v/>
      </c>
      <c r="F36" s="298" t="str">
        <f>IF(②個人種目申込!B32="","",②個人種目申込!D32&amp;"年"&amp;②個人種目申込!E32&amp;"月"&amp;②個人種目申込!F32&amp;"日")</f>
        <v/>
      </c>
      <c r="G36" s="299"/>
      <c r="H36" s="179" t="str">
        <f>IF(②個人種目申込!I32="","",②個人種目申込!I32)</f>
        <v/>
      </c>
      <c r="I36" s="182" t="str">
        <f>IF(②個人種目申込!J32="","",②個人種目申込!J32)</f>
        <v/>
      </c>
      <c r="J36" s="183" t="str">
        <f>IF(I36="","",IF(②個人種目申込!K32="00","",ASC(②個人種目申込!K32)&amp;"分")&amp;ASC(②個人種目申込!L32)&amp;"秒"&amp;ASC(②個人種目申込!M32))</f>
        <v/>
      </c>
      <c r="K36" s="179" t="str">
        <f>IF(②個人種目申込!N32="","",②個人種目申込!N32)</f>
        <v/>
      </c>
      <c r="L36" s="184" t="str">
        <f>IF(②個人種目申込!O32="","",②個人種目申込!O32)</f>
        <v/>
      </c>
      <c r="M36" s="185" t="str">
        <f>IF(L36="","",IF(②個人種目申込!P32="00","",ASC(②個人種目申込!P32)&amp;"分")&amp;ASC(②個人種目申込!Q32)&amp;"秒"&amp;ASC(②個人種目申込!R32))</f>
        <v/>
      </c>
    </row>
    <row r="37" spans="2:14" ht="5.25" customHeight="1" thickBot="1"/>
    <row r="38" spans="2:14" ht="14.25" customHeight="1" thickBot="1">
      <c r="B38" s="287" t="s">
        <v>273</v>
      </c>
      <c r="C38" s="287"/>
      <c r="D38" s="287"/>
      <c r="E38" s="287"/>
      <c r="F38" s="288"/>
      <c r="G38" s="33"/>
      <c r="H38" s="284" t="s">
        <v>351</v>
      </c>
      <c r="I38" s="285"/>
      <c r="J38" s="286"/>
      <c r="K38" s="284" t="s">
        <v>109</v>
      </c>
      <c r="L38" s="285"/>
      <c r="M38" s="286"/>
      <c r="N38" s="66"/>
    </row>
    <row r="39" spans="2:14" ht="13.5" customHeight="1">
      <c r="B39" s="287"/>
      <c r="C39" s="287"/>
      <c r="D39" s="287"/>
      <c r="E39" s="287"/>
      <c r="F39" s="288"/>
      <c r="G39" s="292" t="s">
        <v>119</v>
      </c>
      <c r="H39" s="277" t="str">
        <f>IF(COUNTIF(③リレー申込!J13:J16,"男子ﾌﾘｰﾘﾚｰ")&lt;1,"",VLOOKUP(1,③リレー申込!O13:P16,2,FALSE))</f>
        <v/>
      </c>
      <c r="I39" s="278"/>
      <c r="J39" s="279"/>
      <c r="K39" s="277" t="str">
        <f>IF(COUNTIF(③リレー申込!J13:J16,"男子ﾒﾄﾞﾚｰﾘﾚｰ")&lt;1,"",VLOOKUP(1,③リレー申込!U13:V16,2,FALSE))</f>
        <v/>
      </c>
      <c r="L39" s="278"/>
      <c r="M39" s="279"/>
      <c r="N39" s="73"/>
    </row>
    <row r="40" spans="2:14" ht="14.25" thickBot="1">
      <c r="B40" s="287"/>
      <c r="C40" s="287"/>
      <c r="D40" s="287"/>
      <c r="E40" s="287"/>
      <c r="F40" s="288"/>
      <c r="G40" s="293"/>
      <c r="H40" s="280"/>
      <c r="I40" s="281"/>
      <c r="J40" s="282"/>
      <c r="K40" s="280"/>
      <c r="L40" s="281"/>
      <c r="M40" s="282"/>
      <c r="N40" s="73"/>
    </row>
    <row r="41" spans="2:14">
      <c r="B41" s="287"/>
      <c r="C41" s="287"/>
      <c r="D41" s="287"/>
      <c r="E41" s="287"/>
      <c r="F41" s="288"/>
      <c r="G41" s="292" t="s">
        <v>67</v>
      </c>
      <c r="H41" s="277" t="str">
        <f>IF(COUNTIF(③リレー申込!J13:J16,"女子ﾌﾘｰﾘﾚｰ")&lt;1,"",VLOOKUP(1,③リレー申込!L13:M16,2,FALSE))</f>
        <v/>
      </c>
      <c r="I41" s="278"/>
      <c r="J41" s="279"/>
      <c r="K41" s="277" t="str">
        <f>IF(COUNTIF(③リレー申込!J13:J16,"女子ﾒﾄﾞﾚｰﾘﾚｰ")&lt;1,"",VLOOKUP(1,③リレー申込!R13:S16,2,FALSE))</f>
        <v/>
      </c>
      <c r="L41" s="278"/>
      <c r="M41" s="279"/>
      <c r="N41" s="73"/>
    </row>
    <row r="42" spans="2:14" ht="14.25" thickBot="1">
      <c r="B42" s="287"/>
      <c r="C42" s="287"/>
      <c r="D42" s="287"/>
      <c r="E42" s="287"/>
      <c r="F42" s="288"/>
      <c r="G42" s="293"/>
      <c r="H42" s="280"/>
      <c r="I42" s="281"/>
      <c r="J42" s="282"/>
      <c r="K42" s="280"/>
      <c r="L42" s="281"/>
      <c r="M42" s="282"/>
      <c r="N42" s="73"/>
    </row>
  </sheetData>
  <sheetProtection sheet="1" objects="1" scenarios="1"/>
  <mergeCells count="48">
    <mergeCell ref="C2:L2"/>
    <mergeCell ref="F26:G26"/>
    <mergeCell ref="F25:G25"/>
    <mergeCell ref="I4:I5"/>
    <mergeCell ref="B6:F6"/>
    <mergeCell ref="K7:M7"/>
    <mergeCell ref="J4:M4"/>
    <mergeCell ref="B4:C4"/>
    <mergeCell ref="A2:B2"/>
    <mergeCell ref="B7:C7"/>
    <mergeCell ref="F34:G34"/>
    <mergeCell ref="F33:G33"/>
    <mergeCell ref="F31:G31"/>
    <mergeCell ref="F32:G32"/>
    <mergeCell ref="C9:E9"/>
    <mergeCell ref="F9:H9"/>
    <mergeCell ref="G41:G42"/>
    <mergeCell ref="G39:G40"/>
    <mergeCell ref="F11:G11"/>
    <mergeCell ref="F12:G12"/>
    <mergeCell ref="F13:G13"/>
    <mergeCell ref="F18:G18"/>
    <mergeCell ref="F19:G19"/>
    <mergeCell ref="F20:G20"/>
    <mergeCell ref="F14:G14"/>
    <mergeCell ref="F15:G15"/>
    <mergeCell ref="F24:G24"/>
    <mergeCell ref="F27:G27"/>
    <mergeCell ref="F29:G29"/>
    <mergeCell ref="F28:G28"/>
    <mergeCell ref="F36:G36"/>
    <mergeCell ref="F35:G35"/>
    <mergeCell ref="H39:J40"/>
    <mergeCell ref="K39:M40"/>
    <mergeCell ref="H41:J42"/>
    <mergeCell ref="K41:M42"/>
    <mergeCell ref="B8:C8"/>
    <mergeCell ref="K38:M38"/>
    <mergeCell ref="H38:J38"/>
    <mergeCell ref="B38:F42"/>
    <mergeCell ref="K8:M8"/>
    <mergeCell ref="K9:M9"/>
    <mergeCell ref="F16:G16"/>
    <mergeCell ref="F17:G17"/>
    <mergeCell ref="F21:G21"/>
    <mergeCell ref="F30:G30"/>
    <mergeCell ref="F22:G22"/>
    <mergeCell ref="F23:G23"/>
  </mergeCells>
  <phoneticPr fontId="4"/>
  <printOptions horizontalCentered="1"/>
  <pageMargins left="0.39000000000000007" right="0.39000000000000007" top="0.28000000000000003" bottom="0.2" header="0.2" footer="0"/>
  <pageSetup paperSize="9" orientation="landscape" r:id="rId1"/>
  <ignoredErrors>
    <ignoredError sqref="C9" unlockedFormula="1"/>
  </ignoredError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2"/>
  </sheetPr>
  <dimension ref="A1:O45"/>
  <sheetViews>
    <sheetView workbookViewId="0"/>
  </sheetViews>
  <sheetFormatPr defaultColWidth="8.75" defaultRowHeight="13.5"/>
  <cols>
    <col min="1" max="1" width="5.625" customWidth="1"/>
    <col min="2" max="2" width="5.75" customWidth="1"/>
    <col min="5" max="5" width="4.625" customWidth="1"/>
    <col min="7" max="7" width="9.125" customWidth="1"/>
    <col min="8" max="8" width="9.5" customWidth="1"/>
    <col min="9" max="9" width="4.625" customWidth="1"/>
    <col min="10" max="10" width="3" customWidth="1"/>
    <col min="11" max="11" width="2.625" customWidth="1"/>
    <col min="12" max="12" width="3" customWidth="1"/>
    <col min="13" max="13" width="2.625" customWidth="1"/>
    <col min="14" max="14" width="3" customWidth="1"/>
    <col min="15" max="15" width="2.625" customWidth="1"/>
  </cols>
  <sheetData>
    <row r="1" spans="2:15" ht="39.75" customHeight="1"/>
    <row r="2" spans="2:15">
      <c r="I2" s="11" t="s">
        <v>44</v>
      </c>
      <c r="J2" s="11">
        <f ca="1">①基本データ入力!O8</f>
        <v>6</v>
      </c>
      <c r="K2" s="11" t="s">
        <v>50</v>
      </c>
      <c r="L2" s="11">
        <f ca="1">①基本データ入力!Q8</f>
        <v>5</v>
      </c>
      <c r="M2" s="11" t="s">
        <v>49</v>
      </c>
      <c r="N2" s="11">
        <f ca="1">①基本データ入力!S8</f>
        <v>29</v>
      </c>
      <c r="O2" s="11" t="s">
        <v>51</v>
      </c>
    </row>
    <row r="4" spans="2:15" ht="14.25" customHeight="1">
      <c r="B4" s="309" t="s">
        <v>275</v>
      </c>
      <c r="C4" s="309"/>
      <c r="D4" s="309"/>
      <c r="E4" s="309"/>
    </row>
    <row r="5" spans="2:15">
      <c r="B5" s="11" t="s">
        <v>60</v>
      </c>
      <c r="C5" s="11"/>
      <c r="D5" s="11"/>
      <c r="E5" s="11"/>
    </row>
    <row r="6" spans="2:15" ht="13.5" customHeight="1">
      <c r="G6" s="9"/>
    </row>
    <row r="7" spans="2:15">
      <c r="G7" s="10"/>
    </row>
    <row r="8" spans="2:15" ht="27" customHeight="1">
      <c r="F8" s="11"/>
      <c r="G8" s="310">
        <f>①基本データ入力!D13</f>
        <v>0</v>
      </c>
      <c r="H8" s="310"/>
      <c r="I8" s="310"/>
      <c r="J8" s="310"/>
      <c r="K8" s="310"/>
      <c r="L8" s="12" t="s">
        <v>46</v>
      </c>
    </row>
    <row r="9" spans="2:15" ht="27" customHeight="1">
      <c r="F9" s="11"/>
      <c r="G9" s="13" t="s">
        <v>61</v>
      </c>
      <c r="H9" s="311">
        <f>①基本データ入力!D16</f>
        <v>0</v>
      </c>
      <c r="I9" s="311"/>
      <c r="J9" s="311"/>
      <c r="K9" s="311"/>
      <c r="L9" s="12" t="s">
        <v>62</v>
      </c>
    </row>
    <row r="10" spans="2:15" ht="22.5" customHeight="1">
      <c r="F10" s="12" t="s">
        <v>52</v>
      </c>
      <c r="G10" s="312" t="str">
        <f>①基本データ入力!N12</f>
        <v/>
      </c>
      <c r="H10" s="312"/>
      <c r="I10" s="312"/>
      <c r="J10" s="312"/>
      <c r="K10" s="312"/>
      <c r="L10" s="312"/>
    </row>
    <row r="11" spans="2:15" ht="22.5" customHeight="1">
      <c r="F11" s="12" t="s">
        <v>53</v>
      </c>
      <c r="G11" s="312" t="str">
        <f>①基本データ入力!N13</f>
        <v/>
      </c>
      <c r="H11" s="312"/>
      <c r="I11" s="312"/>
      <c r="J11" s="312"/>
      <c r="K11" s="312"/>
      <c r="L11" s="312"/>
    </row>
    <row r="12" spans="2:15" ht="22.5" customHeight="1">
      <c r="F12" s="12" t="s">
        <v>63</v>
      </c>
      <c r="G12" s="312"/>
      <c r="H12" s="312"/>
      <c r="I12" s="312"/>
      <c r="J12" s="312"/>
      <c r="K12" s="312"/>
      <c r="L12" s="312"/>
    </row>
    <row r="13" spans="2:15" ht="39" customHeight="1"/>
    <row r="14" spans="2:15" ht="18.75">
      <c r="D14" s="14" t="s">
        <v>57</v>
      </c>
    </row>
    <row r="17" spans="1:13" ht="14.25">
      <c r="A17" s="7"/>
      <c r="B17" s="15" t="str">
        <f ca="1">"下記の者を，本校が上記（　　　　　　　"&amp;①基本データ入力!D10&amp;"　　　　　　　）出場に際しての，"</f>
        <v>下記の者を，本校が上記（　　　　　　　第18回備南東地区中学校　　　　　　　）出場に際しての，</v>
      </c>
    </row>
    <row r="18" spans="1:13" ht="14.25">
      <c r="A18" s="7"/>
      <c r="B18" s="7"/>
      <c r="C18" s="15"/>
    </row>
    <row r="19" spans="1:13" ht="14.25">
      <c r="A19" s="7"/>
      <c r="B19" s="7"/>
      <c r="C19" s="15"/>
    </row>
    <row r="20" spans="1:13" ht="14.25">
      <c r="A20" s="7"/>
      <c r="B20" s="15" t="s">
        <v>59</v>
      </c>
    </row>
    <row r="25" spans="1:13" ht="14.25">
      <c r="G25" s="16" t="s">
        <v>58</v>
      </c>
    </row>
    <row r="26" spans="1:13">
      <c r="G26" s="8"/>
    </row>
    <row r="27" spans="1:13">
      <c r="G27" s="8"/>
    </row>
    <row r="28" spans="1:13">
      <c r="G28" s="8"/>
    </row>
    <row r="29" spans="1:13" ht="6" customHeight="1">
      <c r="C29" s="17"/>
      <c r="D29" s="322" t="e">
        <f>①基本データ入力!#REF!</f>
        <v>#REF!</v>
      </c>
      <c r="E29" s="323"/>
      <c r="F29" s="323"/>
      <c r="G29" s="323"/>
      <c r="H29" s="323"/>
      <c r="I29" s="323"/>
      <c r="J29" s="323"/>
      <c r="K29" s="323"/>
      <c r="L29" s="323"/>
      <c r="M29" s="324"/>
    </row>
    <row r="30" spans="1:13" ht="12" customHeight="1">
      <c r="C30" s="18" t="s">
        <v>64</v>
      </c>
      <c r="D30" s="325"/>
      <c r="E30" s="311"/>
      <c r="F30" s="311"/>
      <c r="G30" s="311"/>
      <c r="H30" s="311"/>
      <c r="I30" s="311"/>
      <c r="J30" s="311"/>
      <c r="K30" s="311"/>
      <c r="L30" s="311"/>
      <c r="M30" s="326"/>
    </row>
    <row r="31" spans="1:13" ht="9.75" customHeight="1">
      <c r="C31" s="327" t="s">
        <v>54</v>
      </c>
      <c r="D31" s="329" t="e">
        <f>①基本データ入力!#REF!</f>
        <v>#REF!</v>
      </c>
      <c r="E31" s="330"/>
      <c r="F31" s="330"/>
      <c r="G31" s="330"/>
      <c r="H31" s="330"/>
      <c r="I31" s="330"/>
      <c r="J31" s="330"/>
      <c r="K31" s="330"/>
      <c r="L31" s="330"/>
      <c r="M31" s="331"/>
    </row>
    <row r="32" spans="1:13" ht="9.75" customHeight="1">
      <c r="C32" s="327"/>
      <c r="D32" s="329"/>
      <c r="E32" s="330"/>
      <c r="F32" s="330"/>
      <c r="G32" s="330"/>
      <c r="H32" s="330"/>
      <c r="I32" s="330"/>
      <c r="J32" s="330"/>
      <c r="K32" s="330"/>
      <c r="L32" s="330"/>
      <c r="M32" s="331"/>
    </row>
    <row r="33" spans="3:13" ht="9" customHeight="1">
      <c r="C33" s="327"/>
      <c r="D33" s="316" t="e">
        <f>"("&amp;①基本データ入力!#REF!&amp;")"</f>
        <v>#REF!</v>
      </c>
      <c r="E33" s="317"/>
      <c r="F33" s="317"/>
      <c r="G33" s="317"/>
      <c r="H33" s="317"/>
      <c r="I33" s="317"/>
      <c r="J33" s="317"/>
      <c r="K33" s="317"/>
      <c r="L33" s="317"/>
      <c r="M33" s="318"/>
    </row>
    <row r="34" spans="3:13" ht="9" customHeight="1">
      <c r="C34" s="328"/>
      <c r="D34" s="319"/>
      <c r="E34" s="320"/>
      <c r="F34" s="320"/>
      <c r="G34" s="320"/>
      <c r="H34" s="320"/>
      <c r="I34" s="320"/>
      <c r="J34" s="320"/>
      <c r="K34" s="320"/>
      <c r="L34" s="320"/>
      <c r="M34" s="321"/>
    </row>
    <row r="35" spans="3:13" ht="18" customHeight="1">
      <c r="C35" s="20"/>
      <c r="D35" s="313" t="e">
        <f>①基本データ入力!#REF!</f>
        <v>#REF!</v>
      </c>
      <c r="E35" s="314"/>
      <c r="F35" s="315"/>
      <c r="G35" s="17"/>
      <c r="H35" s="313" t="e">
        <f>①基本データ入力!#REF!&amp;"歳"</f>
        <v>#REF!</v>
      </c>
      <c r="I35" s="314"/>
      <c r="J35" s="314"/>
      <c r="K35" s="314"/>
      <c r="L35" s="314"/>
      <c r="M35" s="315"/>
    </row>
    <row r="36" spans="3:13" ht="18" customHeight="1">
      <c r="C36" s="18" t="s">
        <v>55</v>
      </c>
      <c r="D36" s="316"/>
      <c r="E36" s="317"/>
      <c r="F36" s="318"/>
      <c r="G36" s="18" t="s">
        <v>56</v>
      </c>
      <c r="H36" s="316"/>
      <c r="I36" s="317"/>
      <c r="J36" s="317"/>
      <c r="K36" s="317"/>
      <c r="L36" s="317"/>
      <c r="M36" s="318"/>
    </row>
    <row r="37" spans="3:13" ht="18" customHeight="1">
      <c r="C37" s="19"/>
      <c r="D37" s="319"/>
      <c r="E37" s="320"/>
      <c r="F37" s="321"/>
      <c r="G37" s="19"/>
      <c r="H37" s="319"/>
      <c r="I37" s="320"/>
      <c r="J37" s="320"/>
      <c r="K37" s="320"/>
      <c r="L37" s="320"/>
      <c r="M37" s="321"/>
    </row>
    <row r="38" spans="3:13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3:13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3:13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3:13" ht="19.5" customHeight="1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3:13" ht="19.5" customHeight="1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3:13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3:13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3:13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</sheetData>
  <mergeCells count="12">
    <mergeCell ref="D35:F37"/>
    <mergeCell ref="H35:M37"/>
    <mergeCell ref="G12:L12"/>
    <mergeCell ref="D29:M30"/>
    <mergeCell ref="C31:C34"/>
    <mergeCell ref="D31:M32"/>
    <mergeCell ref="D33:M34"/>
    <mergeCell ref="B4:E4"/>
    <mergeCell ref="G8:K8"/>
    <mergeCell ref="H9:K9"/>
    <mergeCell ref="G10:L10"/>
    <mergeCell ref="G11:L11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6"/>
  <sheetViews>
    <sheetView topLeftCell="N1" workbookViewId="0">
      <selection activeCell="R3" sqref="R3"/>
    </sheetView>
  </sheetViews>
  <sheetFormatPr defaultColWidth="9" defaultRowHeight="13.5"/>
  <cols>
    <col min="1" max="1" width="10.625" style="114" customWidth="1"/>
    <col min="2" max="2" width="15" style="114" customWidth="1"/>
    <col min="3" max="3" width="6.75" style="114" customWidth="1"/>
    <col min="4" max="4" width="29.625" style="114" customWidth="1"/>
    <col min="5" max="5" width="31.375" style="114" customWidth="1"/>
    <col min="6" max="6" width="10.625" style="114" customWidth="1"/>
    <col min="7" max="8" width="6.75" style="114" customWidth="1"/>
    <col min="9" max="9" width="6.375" style="114" customWidth="1"/>
    <col min="10" max="10" width="14" style="114" customWidth="1"/>
    <col min="11" max="11" width="13.625" style="114" customWidth="1"/>
    <col min="12" max="12" width="12.75" style="114" customWidth="1"/>
    <col min="13" max="13" width="16.5" style="114" customWidth="1"/>
    <col min="14" max="14" width="17" style="114" customWidth="1"/>
    <col min="15" max="15" width="15.125" style="114" customWidth="1"/>
    <col min="16" max="16" width="17.125" style="114" customWidth="1"/>
    <col min="17" max="17" width="10.625" style="114" customWidth="1"/>
    <col min="18" max="18" width="9" style="114"/>
    <col min="19" max="19" width="12.125" style="114" customWidth="1"/>
    <col min="20" max="20" width="9" style="114"/>
    <col min="21" max="37" width="12.125" style="114" customWidth="1"/>
    <col min="38" max="16384" width="9" style="1"/>
  </cols>
  <sheetData>
    <row r="1" spans="1:37" ht="15" customHeight="1">
      <c r="A1" s="111" t="s">
        <v>76</v>
      </c>
      <c r="B1" s="111" t="s">
        <v>77</v>
      </c>
      <c r="C1" s="111" t="s">
        <v>78</v>
      </c>
      <c r="D1" s="111" t="s">
        <v>79</v>
      </c>
      <c r="E1" s="111" t="s">
        <v>80</v>
      </c>
      <c r="F1" s="111" t="s">
        <v>81</v>
      </c>
      <c r="G1" s="111" t="s">
        <v>82</v>
      </c>
      <c r="H1" s="111" t="s">
        <v>83</v>
      </c>
      <c r="I1" s="111" t="s">
        <v>84</v>
      </c>
      <c r="J1" s="111" t="s">
        <v>85</v>
      </c>
      <c r="K1" s="111" t="s">
        <v>86</v>
      </c>
      <c r="L1" s="111" t="s">
        <v>87</v>
      </c>
      <c r="M1" s="111" t="s">
        <v>88</v>
      </c>
      <c r="N1" s="111" t="s">
        <v>89</v>
      </c>
      <c r="O1" s="111" t="s">
        <v>90</v>
      </c>
      <c r="P1" s="111" t="s">
        <v>91</v>
      </c>
      <c r="Q1" s="111" t="s">
        <v>92</v>
      </c>
      <c r="R1" s="111" t="s">
        <v>93</v>
      </c>
      <c r="S1" s="111" t="s">
        <v>94</v>
      </c>
      <c r="T1" s="111" t="s">
        <v>95</v>
      </c>
      <c r="U1" s="111" t="s">
        <v>96</v>
      </c>
      <c r="V1" s="111" t="s">
        <v>475</v>
      </c>
      <c r="W1" s="111" t="s">
        <v>476</v>
      </c>
      <c r="X1" s="111" t="s">
        <v>477</v>
      </c>
      <c r="Y1" s="111" t="s">
        <v>478</v>
      </c>
      <c r="Z1" s="111" t="s">
        <v>479</v>
      </c>
      <c r="AA1" s="111" t="s">
        <v>480</v>
      </c>
      <c r="AB1" s="111" t="s">
        <v>481</v>
      </c>
      <c r="AC1" s="111" t="s">
        <v>482</v>
      </c>
      <c r="AD1" s="111" t="s">
        <v>483</v>
      </c>
      <c r="AE1" s="111" t="s">
        <v>484</v>
      </c>
      <c r="AF1" s="111" t="s">
        <v>485</v>
      </c>
      <c r="AG1" s="111" t="s">
        <v>486</v>
      </c>
      <c r="AH1" s="111" t="s">
        <v>487</v>
      </c>
      <c r="AI1" s="111" t="s">
        <v>488</v>
      </c>
      <c r="AJ1" s="111" t="s">
        <v>489</v>
      </c>
      <c r="AK1" s="111" t="s">
        <v>490</v>
      </c>
    </row>
    <row r="2" spans="1:37" customFormat="1">
      <c r="A2" s="112">
        <v>1</v>
      </c>
      <c r="B2" s="112"/>
      <c r="C2" s="112" t="str">
        <f>IF(②個人種目申込!A8="","",ASC(IF(②個人種目申込!A8="男子",1,2)))</f>
        <v/>
      </c>
      <c r="D2" s="112" t="str">
        <f>IF(②個人種目申込!B8="","",②個人種目申込!B8)</f>
        <v/>
      </c>
      <c r="E2" s="112" t="str">
        <f>ASC(②個人種目申込!C8)</f>
        <v/>
      </c>
      <c r="F2" s="112" t="str">
        <f>IF(②個人種目申込!D8="","",ASC(②個人種目申込!D8)&amp;ASC(IF(LEN(②個人種目申込!E8)=1,"0"&amp;②個人種目申込!E8,②個人種目申込!E8))&amp;ASC(IF(LEN(②個人種目申込!F8)=1,"0"&amp;②個人種目申込!F8,②個人種目申込!F8)))</f>
        <v/>
      </c>
      <c r="G2" s="112" t="str">
        <f>IF(C2="","",2)</f>
        <v/>
      </c>
      <c r="H2" s="112" t="str">
        <f>ASC(②個人種目申込!G8)</f>
        <v/>
      </c>
      <c r="I2" s="112"/>
      <c r="J2" s="112"/>
      <c r="K2" s="112" t="str">
        <f>②個人種目申込!H8</f>
        <v/>
      </c>
      <c r="L2" s="113" t="str">
        <f>IF(K2="","",①基本データ入力!$D$12)</f>
        <v/>
      </c>
      <c r="M2" s="113"/>
      <c r="N2" s="113"/>
      <c r="O2" s="113"/>
      <c r="P2" s="113"/>
      <c r="Q2" s="111" t="s">
        <v>313</v>
      </c>
      <c r="R2" s="112" t="str">
        <f>ASC(IF(②個人種目申込!J8="自由形",10,IF(②個人種目申込!J8="背泳ぎ",20,IF(②個人種目申込!J8="平泳ぎ",30,IF(②個人種目申込!J8="バタフライ",40,IF(②個人種目申込!J8="個人メドレー",50,"")))))&amp;IF(②個人種目申込!I8=50,"050",②個人種目申込!I8))</f>
        <v/>
      </c>
      <c r="S2" s="112" t="str">
        <f>IF(R2="","",ASC(IF(LEN(②個人種目申込!K8)=1,"0"&amp;②個人種目申込!K8,②個人種目申込!K8))&amp;ASC(IF(LEN(②個人種目申込!L8)=1,"0"&amp;②個人種目申込!L8,②個人種目申込!L8))&amp;"."&amp;ASC(IF(LEN(②個人種目申込!M8)=1,"0"&amp;②個人種目申込!M8,②個人種目申込!M8)))</f>
        <v/>
      </c>
      <c r="T2" s="112" t="str">
        <f>ASC(IF(②個人種目申込!O8="自由形",10,IF(②個人種目申込!O8="背泳ぎ",20,IF(②個人種目申込!O8="平泳ぎ",30,IF(②個人種目申込!O8="バタフライ",40,IF(②個人種目申込!O8="個人メドレー",50,"")))))&amp;IF(②個人種目申込!N8=50,"050",②個人種目申込!N8))</f>
        <v/>
      </c>
      <c r="U2" s="112" t="str">
        <f>IF(T2="","",ASC(IF(LEN(②個人種目申込!P8)=1,"0"&amp;②個人種目申込!P8,②個人種目申込!P8))&amp;ASC(IF(LEN(②個人種目申込!Q8)=1,"0"&amp;②個人種目申込!Q8,②個人種目申込!Q8))&amp;"."&amp;ASC(IF(LEN(②個人種目申込!R8)=1,"0"&amp;②個人種目申込!R8,②個人種目申込!R8)))</f>
        <v/>
      </c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customFormat="1">
      <c r="A3" s="112">
        <v>2</v>
      </c>
      <c r="B3" s="112"/>
      <c r="C3" s="112" t="str">
        <f>IF(②個人種目申込!A9="","",ASC(IF(②個人種目申込!A9="男子",1,2)))</f>
        <v/>
      </c>
      <c r="D3" s="112" t="str">
        <f>IF(②個人種目申込!B9="","",②個人種目申込!B9)</f>
        <v/>
      </c>
      <c r="E3" s="112" t="str">
        <f>ASC(②個人種目申込!C9)</f>
        <v/>
      </c>
      <c r="F3" s="112" t="str">
        <f>IF(②個人種目申込!D9="","",ASC(②個人種目申込!D9)&amp;ASC(IF(LEN(②個人種目申込!E9)=1,"0"&amp;②個人種目申込!E9,②個人種目申込!E9))&amp;ASC(IF(LEN(②個人種目申込!F9)=1,"0"&amp;②個人種目申込!F9,②個人種目申込!F9)))</f>
        <v/>
      </c>
      <c r="G3" s="112" t="str">
        <f t="shared" ref="G3:G26" si="0">IF(C3="","",2)</f>
        <v/>
      </c>
      <c r="H3" s="112" t="str">
        <f>ASC(②個人種目申込!G9)</f>
        <v/>
      </c>
      <c r="I3" s="112"/>
      <c r="J3" s="112"/>
      <c r="K3" s="112" t="str">
        <f>②個人種目申込!H9</f>
        <v/>
      </c>
      <c r="L3" s="113" t="str">
        <f>IF(K3="","",①基本データ入力!$D$12)</f>
        <v/>
      </c>
      <c r="M3" s="113"/>
      <c r="N3" s="113"/>
      <c r="O3" s="113"/>
      <c r="P3" s="113"/>
      <c r="Q3" s="111" t="s">
        <v>313</v>
      </c>
      <c r="R3" s="112" t="str">
        <f>ASC(IF(②個人種目申込!J9="自由形",10,IF(②個人種目申込!J9="背泳ぎ",20,IF(②個人種目申込!J9="平泳ぎ",30,IF(②個人種目申込!J9="バタフライ",40,IF(②個人種目申込!J9="個人メドレー",50,"")))))&amp;IF(②個人種目申込!I9=50,"050",②個人種目申込!I9))</f>
        <v/>
      </c>
      <c r="S3" s="112" t="str">
        <f>IF(R3="","",ASC(IF(LEN(②個人種目申込!K9)=1,"0"&amp;②個人種目申込!K9,②個人種目申込!K9))&amp;ASC(IF(LEN(②個人種目申込!L9)=1,"0"&amp;②個人種目申込!L9,②個人種目申込!L9))&amp;"."&amp;ASC(IF(LEN(②個人種目申込!M9)=1,"0"&amp;②個人種目申込!M9,②個人種目申込!M9)))</f>
        <v/>
      </c>
      <c r="T3" s="112" t="str">
        <f>ASC(IF(②個人種目申込!O9="自由形",10,IF(②個人種目申込!O9="背泳ぎ",20,IF(②個人種目申込!O9="平泳ぎ",30,IF(②個人種目申込!O9="バタフライ",40,IF(②個人種目申込!O9="個人メドレー",50,"")))))&amp;IF(②個人種目申込!N9=50,"050",②個人種目申込!N9))</f>
        <v/>
      </c>
      <c r="U3" s="112" t="str">
        <f>IF(T3="","",ASC(IF(LEN(②個人種目申込!P9)=1,"0"&amp;②個人種目申込!P9,②個人種目申込!P9))&amp;ASC(IF(LEN(②個人種目申込!Q9)=1,"0"&amp;②個人種目申込!Q9,②個人種目申込!Q9))&amp;"."&amp;ASC(IF(LEN(②個人種目申込!R9)=1,"0"&amp;②個人種目申込!R9,②個人種目申込!R9)))</f>
        <v/>
      </c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</row>
    <row r="4" spans="1:37" customFormat="1">
      <c r="A4" s="112">
        <v>3</v>
      </c>
      <c r="B4" s="112"/>
      <c r="C4" s="112" t="str">
        <f>IF(②個人種目申込!A10="","",ASC(IF(②個人種目申込!A10="男子",1,2)))</f>
        <v/>
      </c>
      <c r="D4" s="112" t="str">
        <f>IF(②個人種目申込!B10="","",②個人種目申込!B10)</f>
        <v/>
      </c>
      <c r="E4" s="112" t="str">
        <f>ASC(②個人種目申込!C10)</f>
        <v/>
      </c>
      <c r="F4" s="112" t="str">
        <f>IF(②個人種目申込!D10="","",ASC(②個人種目申込!D10)&amp;ASC(IF(LEN(②個人種目申込!E10)=1,"0"&amp;②個人種目申込!E10,②個人種目申込!E10))&amp;ASC(IF(LEN(②個人種目申込!F10)=1,"0"&amp;②個人種目申込!F10,②個人種目申込!F10)))</f>
        <v/>
      </c>
      <c r="G4" s="112" t="str">
        <f t="shared" si="0"/>
        <v/>
      </c>
      <c r="H4" s="112" t="str">
        <f>ASC(②個人種目申込!G10)</f>
        <v/>
      </c>
      <c r="I4" s="112"/>
      <c r="J4" s="112"/>
      <c r="K4" s="112" t="str">
        <f>②個人種目申込!H10</f>
        <v/>
      </c>
      <c r="L4" s="113" t="str">
        <f>IF(K4="","",①基本データ入力!$D$12)</f>
        <v/>
      </c>
      <c r="M4" s="113"/>
      <c r="N4" s="113"/>
      <c r="O4" s="113"/>
      <c r="P4" s="113"/>
      <c r="Q4" s="111" t="s">
        <v>313</v>
      </c>
      <c r="R4" s="112" t="str">
        <f>ASC(IF(②個人種目申込!J10="自由形",10,IF(②個人種目申込!J10="背泳ぎ",20,IF(②個人種目申込!J10="平泳ぎ",30,IF(②個人種目申込!J10="バタフライ",40,IF(②個人種目申込!J10="個人メドレー",50,"")))))&amp;IF(②個人種目申込!I10=50,"050",②個人種目申込!I10))</f>
        <v/>
      </c>
      <c r="S4" s="112" t="str">
        <f>IF(R4="","",ASC(IF(LEN(②個人種目申込!K10)=1,"0"&amp;②個人種目申込!K10,②個人種目申込!K10))&amp;ASC(IF(LEN(②個人種目申込!L10)=1,"0"&amp;②個人種目申込!L10,②個人種目申込!L10))&amp;"."&amp;ASC(IF(LEN(②個人種目申込!M10)=1,"0"&amp;②個人種目申込!M10,②個人種目申込!M10)))</f>
        <v/>
      </c>
      <c r="T4" s="112" t="str">
        <f>ASC(IF(②個人種目申込!O10="自由形",10,IF(②個人種目申込!O10="背泳ぎ",20,IF(②個人種目申込!O10="平泳ぎ",30,IF(②個人種目申込!O10="バタフライ",40,IF(②個人種目申込!O10="個人メドレー",50,"")))))&amp;IF(②個人種目申込!N10=50,"050",②個人種目申込!N10))</f>
        <v/>
      </c>
      <c r="U4" s="112" t="str">
        <f>IF(T4="","",ASC(IF(LEN(②個人種目申込!P10)=1,"0"&amp;②個人種目申込!P10,②個人種目申込!P10))&amp;ASC(IF(LEN(②個人種目申込!Q10)=1,"0"&amp;②個人種目申込!Q10,②個人種目申込!Q10))&amp;"."&amp;ASC(IF(LEN(②個人種目申込!R10)=1,"0"&amp;②個人種目申込!R10,②個人種目申込!R10)))</f>
        <v/>
      </c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</row>
    <row r="5" spans="1:37" customFormat="1">
      <c r="A5" s="112">
        <v>4</v>
      </c>
      <c r="B5" s="112"/>
      <c r="C5" s="112" t="str">
        <f>IF(②個人種目申込!A11="","",ASC(IF(②個人種目申込!A11="男子",1,2)))</f>
        <v/>
      </c>
      <c r="D5" s="112" t="str">
        <f>IF(②個人種目申込!B11="","",②個人種目申込!B11)</f>
        <v/>
      </c>
      <c r="E5" s="112" t="str">
        <f>ASC(②個人種目申込!C11)</f>
        <v/>
      </c>
      <c r="F5" s="112" t="str">
        <f>IF(②個人種目申込!D11="","",ASC(②個人種目申込!D11)&amp;ASC(IF(LEN(②個人種目申込!E11)=1,"0"&amp;②個人種目申込!E11,②個人種目申込!E11))&amp;ASC(IF(LEN(②個人種目申込!F11)=1,"0"&amp;②個人種目申込!F11,②個人種目申込!F11)))</f>
        <v/>
      </c>
      <c r="G5" s="112" t="str">
        <f t="shared" si="0"/>
        <v/>
      </c>
      <c r="H5" s="112" t="str">
        <f>ASC(②個人種目申込!G11)</f>
        <v/>
      </c>
      <c r="I5" s="112"/>
      <c r="J5" s="112"/>
      <c r="K5" s="112" t="str">
        <f>②個人種目申込!H11</f>
        <v/>
      </c>
      <c r="L5" s="113" t="str">
        <f>IF(K5="","",①基本データ入力!$D$12)</f>
        <v/>
      </c>
      <c r="M5" s="113"/>
      <c r="N5" s="113"/>
      <c r="O5" s="113"/>
      <c r="P5" s="113"/>
      <c r="Q5" s="111" t="s">
        <v>313</v>
      </c>
      <c r="R5" s="112" t="str">
        <f>ASC(IF(②個人種目申込!J11="自由形",10,IF(②個人種目申込!J11="背泳ぎ",20,IF(②個人種目申込!J11="平泳ぎ",30,IF(②個人種目申込!J11="バタフライ",40,IF(②個人種目申込!J11="個人メドレー",50,"")))))&amp;IF(②個人種目申込!I11=50,"050",②個人種目申込!I11))</f>
        <v/>
      </c>
      <c r="S5" s="112" t="str">
        <f>IF(R5="","",ASC(IF(LEN(②個人種目申込!K11)=1,"0"&amp;②個人種目申込!K11,②個人種目申込!K11))&amp;ASC(IF(LEN(②個人種目申込!L11)=1,"0"&amp;②個人種目申込!L11,②個人種目申込!L11))&amp;"."&amp;ASC(IF(LEN(②個人種目申込!M11)=1,"0"&amp;②個人種目申込!M11,②個人種目申込!M11)))</f>
        <v/>
      </c>
      <c r="T5" s="112" t="str">
        <f>ASC(IF(②個人種目申込!O11="自由形",10,IF(②個人種目申込!O11="背泳ぎ",20,IF(②個人種目申込!O11="平泳ぎ",30,IF(②個人種目申込!O11="バタフライ",40,IF(②個人種目申込!O11="個人メドレー",50,"")))))&amp;IF(②個人種目申込!N11=50,"050",②個人種目申込!N11))</f>
        <v/>
      </c>
      <c r="U5" s="112" t="str">
        <f>IF(T5="","",ASC(IF(LEN(②個人種目申込!P11)=1,"0"&amp;②個人種目申込!P11,②個人種目申込!P11))&amp;ASC(IF(LEN(②個人種目申込!Q11)=1,"0"&amp;②個人種目申込!Q11,②個人種目申込!Q11))&amp;"."&amp;ASC(IF(LEN(②個人種目申込!R11)=1,"0"&amp;②個人種目申込!R11,②個人種目申込!R11)))</f>
        <v/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</row>
    <row r="6" spans="1:37" customFormat="1">
      <c r="A6" s="112">
        <v>5</v>
      </c>
      <c r="B6" s="112"/>
      <c r="C6" s="112" t="str">
        <f>IF(②個人種目申込!A12="","",ASC(IF(②個人種目申込!A12="男子",1,2)))</f>
        <v/>
      </c>
      <c r="D6" s="112" t="str">
        <f>IF(②個人種目申込!B12="","",②個人種目申込!B12)</f>
        <v/>
      </c>
      <c r="E6" s="112" t="str">
        <f>ASC(②個人種目申込!C12)</f>
        <v/>
      </c>
      <c r="F6" s="112" t="str">
        <f>IF(②個人種目申込!D12="","",ASC(②個人種目申込!D12)&amp;ASC(IF(LEN(②個人種目申込!E12)=1,"0"&amp;②個人種目申込!E12,②個人種目申込!E12))&amp;ASC(IF(LEN(②個人種目申込!F12)=1,"0"&amp;②個人種目申込!F12,②個人種目申込!F12)))</f>
        <v/>
      </c>
      <c r="G6" s="112" t="str">
        <f t="shared" si="0"/>
        <v/>
      </c>
      <c r="H6" s="112" t="str">
        <f>ASC(②個人種目申込!G12)</f>
        <v/>
      </c>
      <c r="I6" s="112"/>
      <c r="J6" s="112"/>
      <c r="K6" s="112" t="str">
        <f>②個人種目申込!H12</f>
        <v/>
      </c>
      <c r="L6" s="113" t="str">
        <f>IF(K6="","",①基本データ入力!$D$12)</f>
        <v/>
      </c>
      <c r="M6" s="113"/>
      <c r="N6" s="113"/>
      <c r="O6" s="113"/>
      <c r="P6" s="113"/>
      <c r="Q6" s="111" t="s">
        <v>313</v>
      </c>
      <c r="R6" s="112" t="str">
        <f>ASC(IF(②個人種目申込!J12="自由形",10,IF(②個人種目申込!J12="背泳ぎ",20,IF(②個人種目申込!J12="平泳ぎ",30,IF(②個人種目申込!J12="バタフライ",40,IF(②個人種目申込!J12="個人メドレー",50,"")))))&amp;IF(②個人種目申込!I12=50,"050",②個人種目申込!I12))</f>
        <v/>
      </c>
      <c r="S6" s="112" t="str">
        <f>IF(R6="","",ASC(IF(LEN(②個人種目申込!K12)=1,"0"&amp;②個人種目申込!K12,②個人種目申込!K12))&amp;ASC(IF(LEN(②個人種目申込!L12)=1,"0"&amp;②個人種目申込!L12,②個人種目申込!L12))&amp;"."&amp;ASC(IF(LEN(②個人種目申込!M12)=1,"0"&amp;②個人種目申込!M12,②個人種目申込!M12)))</f>
        <v/>
      </c>
      <c r="T6" s="112" t="str">
        <f>ASC(IF(②個人種目申込!O12="自由形",10,IF(②個人種目申込!O12="背泳ぎ",20,IF(②個人種目申込!O12="平泳ぎ",30,IF(②個人種目申込!O12="バタフライ",40,IF(②個人種目申込!O12="個人メドレー",50,"")))))&amp;IF(②個人種目申込!N12=50,"050",②個人種目申込!N12))</f>
        <v/>
      </c>
      <c r="U6" s="112" t="str">
        <f>IF(T6="","",ASC(IF(LEN(②個人種目申込!P12)=1,"0"&amp;②個人種目申込!P12,②個人種目申込!P12))&amp;ASC(IF(LEN(②個人種目申込!Q12)=1,"0"&amp;②個人種目申込!Q12,②個人種目申込!Q12))&amp;"."&amp;ASC(IF(LEN(②個人種目申込!R12)=1,"0"&amp;②個人種目申込!R12,②個人種目申込!R12)))</f>
        <v/>
      </c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</row>
    <row r="7" spans="1:37" customFormat="1">
      <c r="A7" s="112">
        <v>6</v>
      </c>
      <c r="B7" s="112"/>
      <c r="C7" s="112" t="str">
        <f>IF(②個人種目申込!A13="","",ASC(IF(②個人種目申込!A13="男子",1,2)))</f>
        <v/>
      </c>
      <c r="D7" s="112" t="str">
        <f>IF(②個人種目申込!B13="","",②個人種目申込!B13)</f>
        <v/>
      </c>
      <c r="E7" s="112" t="str">
        <f>ASC(②個人種目申込!C13)</f>
        <v/>
      </c>
      <c r="F7" s="112" t="str">
        <f>IF(②個人種目申込!D13="","",ASC(②個人種目申込!D13)&amp;ASC(IF(LEN(②個人種目申込!E13)=1,"0"&amp;②個人種目申込!E13,②個人種目申込!E13))&amp;ASC(IF(LEN(②個人種目申込!F13)=1,"0"&amp;②個人種目申込!F13,②個人種目申込!F13)))</f>
        <v/>
      </c>
      <c r="G7" s="112" t="str">
        <f t="shared" si="0"/>
        <v/>
      </c>
      <c r="H7" s="112" t="str">
        <f>ASC(②個人種目申込!G13)</f>
        <v/>
      </c>
      <c r="I7" s="112"/>
      <c r="J7" s="112"/>
      <c r="K7" s="112" t="str">
        <f>②個人種目申込!H13</f>
        <v/>
      </c>
      <c r="L7" s="113" t="str">
        <f>IF(K7="","",①基本データ入力!$D$12)</f>
        <v/>
      </c>
      <c r="M7" s="113"/>
      <c r="N7" s="113"/>
      <c r="O7" s="113"/>
      <c r="P7" s="113"/>
      <c r="Q7" s="111" t="s">
        <v>313</v>
      </c>
      <c r="R7" s="112" t="str">
        <f>ASC(IF(②個人種目申込!J13="自由形",10,IF(②個人種目申込!J13="背泳ぎ",20,IF(②個人種目申込!J13="平泳ぎ",30,IF(②個人種目申込!J13="バタフライ",40,IF(②個人種目申込!J13="個人メドレー",50,"")))))&amp;IF(②個人種目申込!I13=50,"050",②個人種目申込!I13))</f>
        <v/>
      </c>
      <c r="S7" s="112" t="str">
        <f>IF(R7="","",ASC(IF(LEN(②個人種目申込!K13)=1,"0"&amp;②個人種目申込!K13,②個人種目申込!K13))&amp;ASC(IF(LEN(②個人種目申込!L13)=1,"0"&amp;②個人種目申込!L13,②個人種目申込!L13))&amp;"."&amp;ASC(IF(LEN(②個人種目申込!M13)=1,"0"&amp;②個人種目申込!M13,②個人種目申込!M13)))</f>
        <v/>
      </c>
      <c r="T7" s="112" t="str">
        <f>ASC(IF(②個人種目申込!O13="自由形",10,IF(②個人種目申込!O13="背泳ぎ",20,IF(②個人種目申込!O13="平泳ぎ",30,IF(②個人種目申込!O13="バタフライ",40,IF(②個人種目申込!O13="個人メドレー",50,"")))))&amp;IF(②個人種目申込!N13=50,"050",②個人種目申込!N13))</f>
        <v/>
      </c>
      <c r="U7" s="112" t="str">
        <f>IF(T7="","",ASC(IF(LEN(②個人種目申込!P13)=1,"0"&amp;②個人種目申込!P13,②個人種目申込!P13))&amp;ASC(IF(LEN(②個人種目申込!Q13)=1,"0"&amp;②個人種目申込!Q13,②個人種目申込!Q13))&amp;"."&amp;ASC(IF(LEN(②個人種目申込!R13)=1,"0"&amp;②個人種目申込!R13,②個人種目申込!R13)))</f>
        <v/>
      </c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</row>
    <row r="8" spans="1:37" customFormat="1">
      <c r="A8" s="112">
        <v>7</v>
      </c>
      <c r="B8" s="112"/>
      <c r="C8" s="112" t="str">
        <f>IF(②個人種目申込!A14="","",ASC(IF(②個人種目申込!A14="男子",1,2)))</f>
        <v/>
      </c>
      <c r="D8" s="112" t="str">
        <f>IF(②個人種目申込!B14="","",②個人種目申込!B14)</f>
        <v/>
      </c>
      <c r="E8" s="112" t="str">
        <f>ASC(②個人種目申込!C14)</f>
        <v/>
      </c>
      <c r="F8" s="112" t="str">
        <f>IF(②個人種目申込!D14="","",ASC(②個人種目申込!D14)&amp;ASC(IF(LEN(②個人種目申込!E14)=1,"0"&amp;②個人種目申込!E14,②個人種目申込!E14))&amp;ASC(IF(LEN(②個人種目申込!F14)=1,"0"&amp;②個人種目申込!F14,②個人種目申込!F14)))</f>
        <v/>
      </c>
      <c r="G8" s="112" t="str">
        <f t="shared" si="0"/>
        <v/>
      </c>
      <c r="H8" s="112" t="str">
        <f>ASC(②個人種目申込!G14)</f>
        <v/>
      </c>
      <c r="I8" s="112"/>
      <c r="J8" s="112"/>
      <c r="K8" s="112" t="str">
        <f>②個人種目申込!H14</f>
        <v/>
      </c>
      <c r="L8" s="113" t="str">
        <f>IF(K8="","",①基本データ入力!$D$12)</f>
        <v/>
      </c>
      <c r="M8" s="113"/>
      <c r="N8" s="113"/>
      <c r="O8" s="113"/>
      <c r="P8" s="113"/>
      <c r="Q8" s="111" t="s">
        <v>313</v>
      </c>
      <c r="R8" s="112" t="str">
        <f>ASC(IF(②個人種目申込!J14="自由形",10,IF(②個人種目申込!J14="背泳ぎ",20,IF(②個人種目申込!J14="平泳ぎ",30,IF(②個人種目申込!J14="バタフライ",40,IF(②個人種目申込!J14="個人メドレー",50,"")))))&amp;IF(②個人種目申込!I14=50,"050",②個人種目申込!I14))</f>
        <v/>
      </c>
      <c r="S8" s="112" t="str">
        <f>IF(R8="","",ASC(IF(LEN(②個人種目申込!K14)=1,"0"&amp;②個人種目申込!K14,②個人種目申込!K14))&amp;ASC(IF(LEN(②個人種目申込!L14)=1,"0"&amp;②個人種目申込!L14,②個人種目申込!L14))&amp;"."&amp;ASC(IF(LEN(②個人種目申込!M14)=1,"0"&amp;②個人種目申込!M14,②個人種目申込!M14)))</f>
        <v/>
      </c>
      <c r="T8" s="112" t="str">
        <f>ASC(IF(②個人種目申込!O14="自由形",10,IF(②個人種目申込!O14="背泳ぎ",20,IF(②個人種目申込!O14="平泳ぎ",30,IF(②個人種目申込!O14="バタフライ",40,IF(②個人種目申込!O14="個人メドレー",50,"")))))&amp;IF(②個人種目申込!N14=50,"050",②個人種目申込!N14))</f>
        <v/>
      </c>
      <c r="U8" s="112" t="str">
        <f>IF(T8="","",ASC(IF(LEN(②個人種目申込!P14)=1,"0"&amp;②個人種目申込!P14,②個人種目申込!P14))&amp;ASC(IF(LEN(②個人種目申込!Q14)=1,"0"&amp;②個人種目申込!Q14,②個人種目申込!Q14))&amp;"."&amp;ASC(IF(LEN(②個人種目申込!R14)=1,"0"&amp;②個人種目申込!R14,②個人種目申込!R14)))</f>
        <v/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</row>
    <row r="9" spans="1:37" customFormat="1">
      <c r="A9" s="112">
        <v>8</v>
      </c>
      <c r="B9" s="112"/>
      <c r="C9" s="112" t="str">
        <f>IF(②個人種目申込!A15="","",ASC(IF(②個人種目申込!A15="男子",1,2)))</f>
        <v/>
      </c>
      <c r="D9" s="112" t="str">
        <f>IF(②個人種目申込!B15="","",②個人種目申込!B15)</f>
        <v/>
      </c>
      <c r="E9" s="112" t="str">
        <f>ASC(②個人種目申込!C15)</f>
        <v/>
      </c>
      <c r="F9" s="112" t="str">
        <f>IF(②個人種目申込!D15="","",ASC(②個人種目申込!D15)&amp;ASC(IF(LEN(②個人種目申込!E15)=1,"0"&amp;②個人種目申込!E15,②個人種目申込!E15))&amp;ASC(IF(LEN(②個人種目申込!F15)=1,"0"&amp;②個人種目申込!F15,②個人種目申込!F15)))</f>
        <v/>
      </c>
      <c r="G9" s="112" t="str">
        <f t="shared" si="0"/>
        <v/>
      </c>
      <c r="H9" s="112" t="str">
        <f>ASC(②個人種目申込!G15)</f>
        <v/>
      </c>
      <c r="I9" s="112"/>
      <c r="J9" s="112"/>
      <c r="K9" s="112" t="str">
        <f>②個人種目申込!H15</f>
        <v/>
      </c>
      <c r="L9" s="113" t="str">
        <f>IF(K9="","",①基本データ入力!$D$12)</f>
        <v/>
      </c>
      <c r="M9" s="113"/>
      <c r="N9" s="113"/>
      <c r="O9" s="113"/>
      <c r="P9" s="113"/>
      <c r="Q9" s="111" t="s">
        <v>313</v>
      </c>
      <c r="R9" s="112" t="str">
        <f>ASC(IF(②個人種目申込!J15="自由形",10,IF(②個人種目申込!J15="背泳ぎ",20,IF(②個人種目申込!J15="平泳ぎ",30,IF(②個人種目申込!J15="バタフライ",40,IF(②個人種目申込!J15="個人メドレー",50,"")))))&amp;IF(②個人種目申込!I15=50,"050",②個人種目申込!I15))</f>
        <v/>
      </c>
      <c r="S9" s="112" t="str">
        <f>IF(R9="","",ASC(IF(LEN(②個人種目申込!K15)=1,"0"&amp;②個人種目申込!K15,②個人種目申込!K15))&amp;ASC(IF(LEN(②個人種目申込!L15)=1,"0"&amp;②個人種目申込!L15,②個人種目申込!L15))&amp;"."&amp;ASC(IF(LEN(②個人種目申込!M15)=1,"0"&amp;②個人種目申込!M15,②個人種目申込!M15)))</f>
        <v/>
      </c>
      <c r="T9" s="112" t="str">
        <f>ASC(IF(②個人種目申込!O15="自由形",10,IF(②個人種目申込!O15="背泳ぎ",20,IF(②個人種目申込!O15="平泳ぎ",30,IF(②個人種目申込!O15="バタフライ",40,IF(②個人種目申込!O15="個人メドレー",50,"")))))&amp;IF(②個人種目申込!N15=50,"050",②個人種目申込!N15))</f>
        <v/>
      </c>
      <c r="U9" s="112" t="str">
        <f>IF(T9="","",ASC(IF(LEN(②個人種目申込!P15)=1,"0"&amp;②個人種目申込!P15,②個人種目申込!P15))&amp;ASC(IF(LEN(②個人種目申込!Q15)=1,"0"&amp;②個人種目申込!Q15,②個人種目申込!Q15))&amp;"."&amp;ASC(IF(LEN(②個人種目申込!R15)=1,"0"&amp;②個人種目申込!R15,②個人種目申込!R15)))</f>
        <v/>
      </c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</row>
    <row r="10" spans="1:37" customFormat="1">
      <c r="A10" s="112">
        <v>9</v>
      </c>
      <c r="B10" s="112"/>
      <c r="C10" s="112" t="str">
        <f>IF(②個人種目申込!A16="","",ASC(IF(②個人種目申込!A16="男子",1,2)))</f>
        <v/>
      </c>
      <c r="D10" s="112" t="str">
        <f>IF(②個人種目申込!B16="","",②個人種目申込!B16)</f>
        <v/>
      </c>
      <c r="E10" s="112" t="str">
        <f>ASC(②個人種目申込!C16)</f>
        <v/>
      </c>
      <c r="F10" s="112" t="str">
        <f>IF(②個人種目申込!D16="","",ASC(②個人種目申込!D16)&amp;ASC(IF(LEN(②個人種目申込!E16)=1,"0"&amp;②個人種目申込!E16,②個人種目申込!E16))&amp;ASC(IF(LEN(②個人種目申込!F16)=1,"0"&amp;②個人種目申込!F16,②個人種目申込!F16)))</f>
        <v/>
      </c>
      <c r="G10" s="112" t="str">
        <f t="shared" si="0"/>
        <v/>
      </c>
      <c r="H10" s="112" t="str">
        <f>ASC(②個人種目申込!G16)</f>
        <v/>
      </c>
      <c r="I10" s="112"/>
      <c r="J10" s="112"/>
      <c r="K10" s="112" t="str">
        <f>②個人種目申込!H16</f>
        <v/>
      </c>
      <c r="L10" s="113" t="str">
        <f>IF(K10="","",①基本データ入力!$D$12)</f>
        <v/>
      </c>
      <c r="M10" s="113"/>
      <c r="N10" s="113"/>
      <c r="O10" s="113"/>
      <c r="P10" s="113"/>
      <c r="Q10" s="111" t="s">
        <v>313</v>
      </c>
      <c r="R10" s="112" t="str">
        <f>ASC(IF(②個人種目申込!J16="自由形",10,IF(②個人種目申込!J16="背泳ぎ",20,IF(②個人種目申込!J16="平泳ぎ",30,IF(②個人種目申込!J16="バタフライ",40,IF(②個人種目申込!J16="個人メドレー",50,"")))))&amp;IF(②個人種目申込!I16=50,"050",②個人種目申込!I16))</f>
        <v/>
      </c>
      <c r="S10" s="112" t="str">
        <f>IF(R10="","",ASC(IF(LEN(②個人種目申込!K16)=1,"0"&amp;②個人種目申込!K16,②個人種目申込!K16))&amp;ASC(IF(LEN(②個人種目申込!L16)=1,"0"&amp;②個人種目申込!L16,②個人種目申込!L16))&amp;"."&amp;ASC(IF(LEN(②個人種目申込!M16)=1,"0"&amp;②個人種目申込!M16,②個人種目申込!M16)))</f>
        <v/>
      </c>
      <c r="T10" s="112" t="str">
        <f>ASC(IF(②個人種目申込!O16="自由形",10,IF(②個人種目申込!O16="背泳ぎ",20,IF(②個人種目申込!O16="平泳ぎ",30,IF(②個人種目申込!O16="バタフライ",40,IF(②個人種目申込!O16="個人メドレー",50,"")))))&amp;IF(②個人種目申込!N16=50,"050",②個人種目申込!N16))</f>
        <v/>
      </c>
      <c r="U10" s="112" t="str">
        <f>IF(T10="","",ASC(IF(LEN(②個人種目申込!P16)=1,"0"&amp;②個人種目申込!P16,②個人種目申込!P16))&amp;ASC(IF(LEN(②個人種目申込!Q16)=1,"0"&amp;②個人種目申込!Q16,②個人種目申込!Q16))&amp;"."&amp;ASC(IF(LEN(②個人種目申込!R16)=1,"0"&amp;②個人種目申込!R16,②個人種目申込!R16)))</f>
        <v/>
      </c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</row>
    <row r="11" spans="1:37" customFormat="1">
      <c r="A11" s="112">
        <v>10</v>
      </c>
      <c r="B11" s="112"/>
      <c r="C11" s="112" t="str">
        <f>IF(②個人種目申込!A17="","",ASC(IF(②個人種目申込!A17="男子",1,2)))</f>
        <v/>
      </c>
      <c r="D11" s="112" t="str">
        <f>IF(②個人種目申込!B17="","",②個人種目申込!B17)</f>
        <v/>
      </c>
      <c r="E11" s="112" t="str">
        <f>ASC(②個人種目申込!C17)</f>
        <v/>
      </c>
      <c r="F11" s="112" t="str">
        <f>IF(②個人種目申込!D17="","",ASC(②個人種目申込!D17)&amp;ASC(IF(LEN(②個人種目申込!E17)=1,"0"&amp;②個人種目申込!E17,②個人種目申込!E17))&amp;ASC(IF(LEN(②個人種目申込!F17)=1,"0"&amp;②個人種目申込!F17,②個人種目申込!F17)))</f>
        <v/>
      </c>
      <c r="G11" s="112" t="str">
        <f t="shared" si="0"/>
        <v/>
      </c>
      <c r="H11" s="112" t="str">
        <f>ASC(②個人種目申込!G17)</f>
        <v/>
      </c>
      <c r="I11" s="112"/>
      <c r="J11" s="112"/>
      <c r="K11" s="112" t="str">
        <f>②個人種目申込!H17</f>
        <v/>
      </c>
      <c r="L11" s="113" t="str">
        <f>IF(K11="","",①基本データ入力!$D$12)</f>
        <v/>
      </c>
      <c r="M11" s="113"/>
      <c r="N11" s="113"/>
      <c r="O11" s="113"/>
      <c r="P11" s="113"/>
      <c r="Q11" s="111" t="s">
        <v>313</v>
      </c>
      <c r="R11" s="112" t="str">
        <f>ASC(IF(②個人種目申込!J17="自由形",10,IF(②個人種目申込!J17="背泳ぎ",20,IF(②個人種目申込!J17="平泳ぎ",30,IF(②個人種目申込!J17="バタフライ",40,IF(②個人種目申込!J17="個人メドレー",50,"")))))&amp;IF(②個人種目申込!I17=50,"050",②個人種目申込!I17))</f>
        <v/>
      </c>
      <c r="S11" s="112" t="str">
        <f>IF(R11="","",ASC(IF(LEN(②個人種目申込!K17)=1,"0"&amp;②個人種目申込!K17,②個人種目申込!K17))&amp;ASC(IF(LEN(②個人種目申込!L17)=1,"0"&amp;②個人種目申込!L17,②個人種目申込!L17))&amp;"."&amp;ASC(IF(LEN(②個人種目申込!M17)=1,"0"&amp;②個人種目申込!M17,②個人種目申込!M17)))</f>
        <v/>
      </c>
      <c r="T11" s="112" t="str">
        <f>ASC(IF(②個人種目申込!O17="自由形",10,IF(②個人種目申込!O17="背泳ぎ",20,IF(②個人種目申込!O17="平泳ぎ",30,IF(②個人種目申込!O17="バタフライ",40,IF(②個人種目申込!O17="個人メドレー",50,"")))))&amp;IF(②個人種目申込!N17=50,"050",②個人種目申込!N17))</f>
        <v/>
      </c>
      <c r="U11" s="112" t="str">
        <f>IF(T11="","",ASC(IF(LEN(②個人種目申込!P17)=1,"0"&amp;②個人種目申込!P17,②個人種目申込!P17))&amp;ASC(IF(LEN(②個人種目申込!Q17)=1,"0"&amp;②個人種目申込!Q17,②個人種目申込!Q17))&amp;"."&amp;ASC(IF(LEN(②個人種目申込!R17)=1,"0"&amp;②個人種目申込!R17,②個人種目申込!R17)))</f>
        <v/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</row>
    <row r="12" spans="1:37" customFormat="1">
      <c r="A12" s="112">
        <v>11</v>
      </c>
      <c r="B12" s="112"/>
      <c r="C12" s="112" t="str">
        <f>IF(②個人種目申込!A18="","",ASC(IF(②個人種目申込!A18="男子",1,2)))</f>
        <v/>
      </c>
      <c r="D12" s="112" t="str">
        <f>IF(②個人種目申込!B18="","",②個人種目申込!B18)</f>
        <v/>
      </c>
      <c r="E12" s="112" t="str">
        <f>ASC(②個人種目申込!C18)</f>
        <v/>
      </c>
      <c r="F12" s="112" t="str">
        <f>IF(②個人種目申込!D18="","",ASC(②個人種目申込!D18)&amp;ASC(IF(LEN(②個人種目申込!E18)=1,"0"&amp;②個人種目申込!E18,②個人種目申込!E18))&amp;ASC(IF(LEN(②個人種目申込!F18)=1,"0"&amp;②個人種目申込!F18,②個人種目申込!F18)))</f>
        <v/>
      </c>
      <c r="G12" s="112" t="str">
        <f t="shared" si="0"/>
        <v/>
      </c>
      <c r="H12" s="112" t="str">
        <f>ASC(②個人種目申込!G18)</f>
        <v/>
      </c>
      <c r="I12" s="112"/>
      <c r="J12" s="112"/>
      <c r="K12" s="112" t="str">
        <f>②個人種目申込!H18</f>
        <v/>
      </c>
      <c r="L12" s="113" t="str">
        <f>IF(K12="","",①基本データ入力!$D$12)</f>
        <v/>
      </c>
      <c r="M12" s="113"/>
      <c r="N12" s="113"/>
      <c r="O12" s="113"/>
      <c r="P12" s="113"/>
      <c r="Q12" s="111" t="s">
        <v>313</v>
      </c>
      <c r="R12" s="112" t="str">
        <f>ASC(IF(②個人種目申込!J18="自由形",10,IF(②個人種目申込!J18="背泳ぎ",20,IF(②個人種目申込!J18="平泳ぎ",30,IF(②個人種目申込!J18="バタフライ",40,IF(②個人種目申込!J18="個人メドレー",50,"")))))&amp;IF(②個人種目申込!I18=50,"050",②個人種目申込!I18))</f>
        <v/>
      </c>
      <c r="S12" s="112" t="str">
        <f>IF(R12="","",ASC(IF(LEN(②個人種目申込!K18)=1,"0"&amp;②個人種目申込!K18,②個人種目申込!K18))&amp;ASC(IF(LEN(②個人種目申込!L18)=1,"0"&amp;②個人種目申込!L18,②個人種目申込!L18))&amp;"."&amp;ASC(IF(LEN(②個人種目申込!M18)=1,"0"&amp;②個人種目申込!M18,②個人種目申込!M18)))</f>
        <v/>
      </c>
      <c r="T12" s="112" t="str">
        <f>ASC(IF(②個人種目申込!O18="自由形",10,IF(②個人種目申込!O18="背泳ぎ",20,IF(②個人種目申込!O18="平泳ぎ",30,IF(②個人種目申込!O18="バタフライ",40,IF(②個人種目申込!O18="個人メドレー",50,"")))))&amp;IF(②個人種目申込!N18=50,"050",②個人種目申込!N18))</f>
        <v/>
      </c>
      <c r="U12" s="112" t="str">
        <f>IF(T12="","",ASC(IF(LEN(②個人種目申込!P18)=1,"0"&amp;②個人種目申込!P18,②個人種目申込!P18))&amp;ASC(IF(LEN(②個人種目申込!Q18)=1,"0"&amp;②個人種目申込!Q18,②個人種目申込!Q18))&amp;"."&amp;ASC(IF(LEN(②個人種目申込!R18)=1,"0"&amp;②個人種目申込!R18,②個人種目申込!R18)))</f>
        <v/>
      </c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</row>
    <row r="13" spans="1:37" customFormat="1">
      <c r="A13" s="112">
        <v>12</v>
      </c>
      <c r="B13" s="112"/>
      <c r="C13" s="112" t="str">
        <f>IF(②個人種目申込!A19="","",ASC(IF(②個人種目申込!A19="男子",1,2)))</f>
        <v/>
      </c>
      <c r="D13" s="112" t="str">
        <f>IF(②個人種目申込!B19="","",②個人種目申込!B19)</f>
        <v/>
      </c>
      <c r="E13" s="112" t="str">
        <f>ASC(②個人種目申込!C19)</f>
        <v/>
      </c>
      <c r="F13" s="112" t="str">
        <f>IF(②個人種目申込!D19="","",ASC(②個人種目申込!D19)&amp;ASC(IF(LEN(②個人種目申込!E19)=1,"0"&amp;②個人種目申込!E19,②個人種目申込!E19))&amp;ASC(IF(LEN(②個人種目申込!F19)=1,"0"&amp;②個人種目申込!F19,②個人種目申込!F19)))</f>
        <v/>
      </c>
      <c r="G13" s="112" t="str">
        <f t="shared" si="0"/>
        <v/>
      </c>
      <c r="H13" s="112" t="str">
        <f>ASC(②個人種目申込!G19)</f>
        <v/>
      </c>
      <c r="I13" s="112"/>
      <c r="J13" s="112"/>
      <c r="K13" s="112" t="str">
        <f>②個人種目申込!H19</f>
        <v/>
      </c>
      <c r="L13" s="113" t="str">
        <f>IF(K13="","",①基本データ入力!$D$12)</f>
        <v/>
      </c>
      <c r="M13" s="113"/>
      <c r="N13" s="113"/>
      <c r="O13" s="113"/>
      <c r="P13" s="113"/>
      <c r="Q13" s="111" t="s">
        <v>313</v>
      </c>
      <c r="R13" s="112" t="str">
        <f>ASC(IF(②個人種目申込!J19="自由形",10,IF(②個人種目申込!J19="背泳ぎ",20,IF(②個人種目申込!J19="平泳ぎ",30,IF(②個人種目申込!J19="バタフライ",40,IF(②個人種目申込!J19="個人メドレー",50,"")))))&amp;IF(②個人種目申込!I19=50,"050",②個人種目申込!I19))</f>
        <v/>
      </c>
      <c r="S13" s="112" t="str">
        <f>IF(R13="","",ASC(IF(LEN(②個人種目申込!K19)=1,"0"&amp;②個人種目申込!K19,②個人種目申込!K19))&amp;ASC(IF(LEN(②個人種目申込!L19)=1,"0"&amp;②個人種目申込!L19,②個人種目申込!L19))&amp;"."&amp;ASC(IF(LEN(②個人種目申込!M19)=1,"0"&amp;②個人種目申込!M19,②個人種目申込!M19)))</f>
        <v/>
      </c>
      <c r="T13" s="112" t="str">
        <f>ASC(IF(②個人種目申込!O19="自由形",10,IF(②個人種目申込!O19="背泳ぎ",20,IF(②個人種目申込!O19="平泳ぎ",30,IF(②個人種目申込!O19="バタフライ",40,IF(②個人種目申込!O19="個人メドレー",50,"")))))&amp;IF(②個人種目申込!N19=50,"050",②個人種目申込!N19))</f>
        <v/>
      </c>
      <c r="U13" s="112" t="str">
        <f>IF(T13="","",ASC(IF(LEN(②個人種目申込!P19)=1,"0"&amp;②個人種目申込!P19,②個人種目申込!P19))&amp;ASC(IF(LEN(②個人種目申込!Q19)=1,"0"&amp;②個人種目申込!Q19,②個人種目申込!Q19))&amp;"."&amp;ASC(IF(LEN(②個人種目申込!R19)=1,"0"&amp;②個人種目申込!R19,②個人種目申込!R19)))</f>
        <v/>
      </c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</row>
    <row r="14" spans="1:37" customFormat="1">
      <c r="A14" s="112">
        <v>13</v>
      </c>
      <c r="B14" s="112"/>
      <c r="C14" s="112" t="str">
        <f>IF(②個人種目申込!A20="","",ASC(IF(②個人種目申込!A20="男子",1,2)))</f>
        <v/>
      </c>
      <c r="D14" s="112" t="str">
        <f>IF(②個人種目申込!B20="","",②個人種目申込!B20)</f>
        <v/>
      </c>
      <c r="E14" s="112" t="str">
        <f>ASC(②個人種目申込!C20)</f>
        <v/>
      </c>
      <c r="F14" s="112" t="str">
        <f>IF(②個人種目申込!D20="","",ASC(②個人種目申込!D20)&amp;ASC(IF(LEN(②個人種目申込!E20)=1,"0"&amp;②個人種目申込!E20,②個人種目申込!E20))&amp;ASC(IF(LEN(②個人種目申込!F20)=1,"0"&amp;②個人種目申込!F20,②個人種目申込!F20)))</f>
        <v/>
      </c>
      <c r="G14" s="112" t="str">
        <f t="shared" si="0"/>
        <v/>
      </c>
      <c r="H14" s="112" t="str">
        <f>ASC(②個人種目申込!G20)</f>
        <v/>
      </c>
      <c r="I14" s="112"/>
      <c r="J14" s="112"/>
      <c r="K14" s="112" t="str">
        <f>②個人種目申込!H20</f>
        <v/>
      </c>
      <c r="L14" s="113" t="str">
        <f>IF(K14="","",①基本データ入力!$D$12)</f>
        <v/>
      </c>
      <c r="M14" s="113"/>
      <c r="N14" s="113"/>
      <c r="O14" s="113"/>
      <c r="P14" s="113"/>
      <c r="Q14" s="111" t="s">
        <v>313</v>
      </c>
      <c r="R14" s="112" t="str">
        <f>ASC(IF(②個人種目申込!J20="自由形",10,IF(②個人種目申込!J20="背泳ぎ",20,IF(②個人種目申込!J20="平泳ぎ",30,IF(②個人種目申込!J20="バタフライ",40,IF(②個人種目申込!J20="個人メドレー",50,"")))))&amp;IF(②個人種目申込!I20=50,"050",②個人種目申込!I20))</f>
        <v/>
      </c>
      <c r="S14" s="112" t="str">
        <f>IF(R14="","",ASC(IF(LEN(②個人種目申込!K20)=1,"0"&amp;②個人種目申込!K20,②個人種目申込!K20))&amp;ASC(IF(LEN(②個人種目申込!L20)=1,"0"&amp;②個人種目申込!L20,②個人種目申込!L20))&amp;"."&amp;ASC(IF(LEN(②個人種目申込!M20)=1,"0"&amp;②個人種目申込!M20,②個人種目申込!M20)))</f>
        <v/>
      </c>
      <c r="T14" s="112" t="str">
        <f>ASC(IF(②個人種目申込!O20="自由形",10,IF(②個人種目申込!O20="背泳ぎ",20,IF(②個人種目申込!O20="平泳ぎ",30,IF(②個人種目申込!O20="バタフライ",40,IF(②個人種目申込!O20="個人メドレー",50,"")))))&amp;IF(②個人種目申込!N20=50,"050",②個人種目申込!N20))</f>
        <v/>
      </c>
      <c r="U14" s="112" t="str">
        <f>IF(T14="","",ASC(IF(LEN(②個人種目申込!P20)=1,"0"&amp;②個人種目申込!P20,②個人種目申込!P20))&amp;ASC(IF(LEN(②個人種目申込!Q20)=1,"0"&amp;②個人種目申込!Q20,②個人種目申込!Q20))&amp;"."&amp;ASC(IF(LEN(②個人種目申込!R20)=1,"0"&amp;②個人種目申込!R20,②個人種目申込!R20)))</f>
        <v/>
      </c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</row>
    <row r="15" spans="1:37" customFormat="1">
      <c r="A15" s="112">
        <v>14</v>
      </c>
      <c r="B15" s="112"/>
      <c r="C15" s="112" t="str">
        <f>IF(②個人種目申込!A21="","",ASC(IF(②個人種目申込!A21="男子",1,2)))</f>
        <v/>
      </c>
      <c r="D15" s="112" t="str">
        <f>IF(②個人種目申込!B21="","",②個人種目申込!B21)</f>
        <v/>
      </c>
      <c r="E15" s="112" t="str">
        <f>ASC(②個人種目申込!C21)</f>
        <v/>
      </c>
      <c r="F15" s="112" t="str">
        <f>IF(②個人種目申込!D21="","",ASC(②個人種目申込!D21)&amp;ASC(IF(LEN(②個人種目申込!E21)=1,"0"&amp;②個人種目申込!E21,②個人種目申込!E21))&amp;ASC(IF(LEN(②個人種目申込!F21)=1,"0"&amp;②個人種目申込!F21,②個人種目申込!F21)))</f>
        <v/>
      </c>
      <c r="G15" s="112" t="str">
        <f t="shared" si="0"/>
        <v/>
      </c>
      <c r="H15" s="112" t="str">
        <f>ASC(②個人種目申込!G21)</f>
        <v/>
      </c>
      <c r="I15" s="112"/>
      <c r="J15" s="112"/>
      <c r="K15" s="112" t="str">
        <f>②個人種目申込!H21</f>
        <v/>
      </c>
      <c r="L15" s="113" t="str">
        <f>IF(K15="","",①基本データ入力!$D$12)</f>
        <v/>
      </c>
      <c r="M15" s="113"/>
      <c r="N15" s="113"/>
      <c r="O15" s="113"/>
      <c r="P15" s="113"/>
      <c r="Q15" s="111" t="s">
        <v>313</v>
      </c>
      <c r="R15" s="112" t="str">
        <f>ASC(IF(②個人種目申込!J21="自由形",10,IF(②個人種目申込!J21="背泳ぎ",20,IF(②個人種目申込!J21="平泳ぎ",30,IF(②個人種目申込!J21="バタフライ",40,IF(②個人種目申込!J21="個人メドレー",50,"")))))&amp;IF(②個人種目申込!I21=50,"050",②個人種目申込!I21))</f>
        <v/>
      </c>
      <c r="S15" s="112" t="str">
        <f>IF(R15="","",ASC(IF(LEN(②個人種目申込!K21)=1,"0"&amp;②個人種目申込!K21,②個人種目申込!K21))&amp;ASC(IF(LEN(②個人種目申込!L21)=1,"0"&amp;②個人種目申込!L21,②個人種目申込!L21))&amp;"."&amp;ASC(IF(LEN(②個人種目申込!M21)=1,"0"&amp;②個人種目申込!M21,②個人種目申込!M21)))</f>
        <v/>
      </c>
      <c r="T15" s="112" t="str">
        <f>ASC(IF(②個人種目申込!O21="自由形",10,IF(②個人種目申込!O21="背泳ぎ",20,IF(②個人種目申込!O21="平泳ぎ",30,IF(②個人種目申込!O21="バタフライ",40,IF(②個人種目申込!O21="個人メドレー",50,"")))))&amp;IF(②個人種目申込!N21=50,"050",②個人種目申込!N21))</f>
        <v/>
      </c>
      <c r="U15" s="112" t="str">
        <f>IF(T15="","",ASC(IF(LEN(②個人種目申込!P21)=1,"0"&amp;②個人種目申込!P21,②個人種目申込!P21))&amp;ASC(IF(LEN(②個人種目申込!Q21)=1,"0"&amp;②個人種目申込!Q21,②個人種目申込!Q21))&amp;"."&amp;ASC(IF(LEN(②個人種目申込!R21)=1,"0"&amp;②個人種目申込!R21,②個人種目申込!R21)))</f>
        <v/>
      </c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</row>
    <row r="16" spans="1:37" customFormat="1">
      <c r="A16" s="112">
        <v>15</v>
      </c>
      <c r="B16" s="112"/>
      <c r="C16" s="112" t="str">
        <f>IF(②個人種目申込!A22="","",ASC(IF(②個人種目申込!A22="男子",1,2)))</f>
        <v/>
      </c>
      <c r="D16" s="112" t="str">
        <f>IF(②個人種目申込!B22="","",②個人種目申込!B22)</f>
        <v/>
      </c>
      <c r="E16" s="112" t="str">
        <f>ASC(②個人種目申込!C22)</f>
        <v/>
      </c>
      <c r="F16" s="112" t="str">
        <f>IF(②個人種目申込!D22="","",ASC(②個人種目申込!D22)&amp;ASC(IF(LEN(②個人種目申込!E22)=1,"0"&amp;②個人種目申込!E22,②個人種目申込!E22))&amp;ASC(IF(LEN(②個人種目申込!F22)=1,"0"&amp;②個人種目申込!F22,②個人種目申込!F22)))</f>
        <v/>
      </c>
      <c r="G16" s="112" t="str">
        <f t="shared" si="0"/>
        <v/>
      </c>
      <c r="H16" s="112" t="str">
        <f>ASC(②個人種目申込!G22)</f>
        <v/>
      </c>
      <c r="I16" s="112"/>
      <c r="J16" s="112"/>
      <c r="K16" s="112" t="str">
        <f>②個人種目申込!H22</f>
        <v/>
      </c>
      <c r="L16" s="113" t="str">
        <f>IF(K16="","",①基本データ入力!$D$12)</f>
        <v/>
      </c>
      <c r="M16" s="113"/>
      <c r="N16" s="113"/>
      <c r="O16" s="113"/>
      <c r="P16" s="113"/>
      <c r="Q16" s="111" t="s">
        <v>313</v>
      </c>
      <c r="R16" s="112" t="str">
        <f>ASC(IF(②個人種目申込!J22="自由形",10,IF(②個人種目申込!J22="背泳ぎ",20,IF(②個人種目申込!J22="平泳ぎ",30,IF(②個人種目申込!J22="バタフライ",40,IF(②個人種目申込!J22="個人メドレー",50,"")))))&amp;IF(②個人種目申込!I22=50,"050",②個人種目申込!I22))</f>
        <v/>
      </c>
      <c r="S16" s="112" t="str">
        <f>IF(R16="","",ASC(IF(LEN(②個人種目申込!K22)=1,"0"&amp;②個人種目申込!K22,②個人種目申込!K22))&amp;ASC(IF(LEN(②個人種目申込!L22)=1,"0"&amp;②個人種目申込!L22,②個人種目申込!L22))&amp;"."&amp;ASC(IF(LEN(②個人種目申込!M22)=1,"0"&amp;②個人種目申込!M22,②個人種目申込!M22)))</f>
        <v/>
      </c>
      <c r="T16" s="112" t="str">
        <f>ASC(IF(②個人種目申込!O22="自由形",10,IF(②個人種目申込!O22="背泳ぎ",20,IF(②個人種目申込!O22="平泳ぎ",30,IF(②個人種目申込!O22="バタフライ",40,IF(②個人種目申込!O22="個人メドレー",50,"")))))&amp;IF(②個人種目申込!N22=50,"050",②個人種目申込!N22))</f>
        <v/>
      </c>
      <c r="U16" s="112" t="str">
        <f>IF(T16="","",ASC(IF(LEN(②個人種目申込!P22)=1,"0"&amp;②個人種目申込!P22,②個人種目申込!P22))&amp;ASC(IF(LEN(②個人種目申込!Q22)=1,"0"&amp;②個人種目申込!Q22,②個人種目申込!Q22))&amp;"."&amp;ASC(IF(LEN(②個人種目申込!R22)=1,"0"&amp;②個人種目申込!R22,②個人種目申込!R22)))</f>
        <v/>
      </c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</row>
    <row r="17" spans="1:37" customFormat="1">
      <c r="A17" s="112">
        <v>16</v>
      </c>
      <c r="B17" s="112"/>
      <c r="C17" s="112" t="str">
        <f>IF(②個人種目申込!A23="","",ASC(IF(②個人種目申込!A23="男子",1,2)))</f>
        <v/>
      </c>
      <c r="D17" s="112" t="str">
        <f>IF(②個人種目申込!B23="","",②個人種目申込!B23)</f>
        <v/>
      </c>
      <c r="E17" s="112" t="str">
        <f>ASC(②個人種目申込!C23)</f>
        <v/>
      </c>
      <c r="F17" s="112" t="str">
        <f>IF(②個人種目申込!D23="","",ASC(②個人種目申込!D23)&amp;ASC(IF(LEN(②個人種目申込!E23)=1,"0"&amp;②個人種目申込!E23,②個人種目申込!E23))&amp;ASC(IF(LEN(②個人種目申込!F23)=1,"0"&amp;②個人種目申込!F23,②個人種目申込!F23)))</f>
        <v/>
      </c>
      <c r="G17" s="112" t="str">
        <f t="shared" si="0"/>
        <v/>
      </c>
      <c r="H17" s="112" t="str">
        <f>ASC(②個人種目申込!G23)</f>
        <v/>
      </c>
      <c r="I17" s="112"/>
      <c r="J17" s="112"/>
      <c r="K17" s="112" t="str">
        <f>②個人種目申込!H23</f>
        <v/>
      </c>
      <c r="L17" s="113" t="str">
        <f>IF(K17="","",①基本データ入力!$D$12)</f>
        <v/>
      </c>
      <c r="M17" s="113"/>
      <c r="N17" s="113"/>
      <c r="O17" s="113"/>
      <c r="P17" s="113"/>
      <c r="Q17" s="111" t="s">
        <v>313</v>
      </c>
      <c r="R17" s="112" t="str">
        <f>ASC(IF(②個人種目申込!J23="自由形",10,IF(②個人種目申込!J23="背泳ぎ",20,IF(②個人種目申込!J23="平泳ぎ",30,IF(②個人種目申込!J23="バタフライ",40,IF(②個人種目申込!J23="個人メドレー",50,"")))))&amp;IF(②個人種目申込!I23=50,"050",②個人種目申込!I23))</f>
        <v/>
      </c>
      <c r="S17" s="112" t="str">
        <f>IF(R17="","",ASC(IF(LEN(②個人種目申込!K23)=1,"0"&amp;②個人種目申込!K23,②個人種目申込!K23))&amp;ASC(IF(LEN(②個人種目申込!L23)=1,"0"&amp;②個人種目申込!L23,②個人種目申込!L23))&amp;"."&amp;ASC(IF(LEN(②個人種目申込!M23)=1,"0"&amp;②個人種目申込!M23,②個人種目申込!M23)))</f>
        <v/>
      </c>
      <c r="T17" s="112" t="str">
        <f>ASC(IF(②個人種目申込!O23="自由形",10,IF(②個人種目申込!O23="背泳ぎ",20,IF(②個人種目申込!O23="平泳ぎ",30,IF(②個人種目申込!O23="バタフライ",40,IF(②個人種目申込!O23="個人メドレー",50,"")))))&amp;IF(②個人種目申込!N23=50,"050",②個人種目申込!N23))</f>
        <v/>
      </c>
      <c r="U17" s="112" t="str">
        <f>IF(T17="","",ASC(IF(LEN(②個人種目申込!P23)=1,"0"&amp;②個人種目申込!P23,②個人種目申込!P23))&amp;ASC(IF(LEN(②個人種目申込!Q23)=1,"0"&amp;②個人種目申込!Q23,②個人種目申込!Q23))&amp;"."&amp;ASC(IF(LEN(②個人種目申込!R23)=1,"0"&amp;②個人種目申込!R23,②個人種目申込!R23)))</f>
        <v/>
      </c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</row>
    <row r="18" spans="1:37" customFormat="1">
      <c r="A18" s="112">
        <v>17</v>
      </c>
      <c r="B18" s="112"/>
      <c r="C18" s="112" t="str">
        <f>IF(②個人種目申込!A24="","",ASC(IF(②個人種目申込!A24="男子",1,2)))</f>
        <v/>
      </c>
      <c r="D18" s="112" t="str">
        <f>IF(②個人種目申込!B24="","",②個人種目申込!B24)</f>
        <v/>
      </c>
      <c r="E18" s="112" t="str">
        <f>ASC(②個人種目申込!C24)</f>
        <v/>
      </c>
      <c r="F18" s="112" t="str">
        <f>IF(②個人種目申込!D24="","",ASC(②個人種目申込!D24)&amp;ASC(IF(LEN(②個人種目申込!E24)=1,"0"&amp;②個人種目申込!E24,②個人種目申込!E24))&amp;ASC(IF(LEN(②個人種目申込!F24)=1,"0"&amp;②個人種目申込!F24,②個人種目申込!F24)))</f>
        <v/>
      </c>
      <c r="G18" s="112" t="str">
        <f t="shared" si="0"/>
        <v/>
      </c>
      <c r="H18" s="112" t="str">
        <f>ASC(②個人種目申込!G24)</f>
        <v/>
      </c>
      <c r="I18" s="112"/>
      <c r="J18" s="112"/>
      <c r="K18" s="112" t="str">
        <f>②個人種目申込!H24</f>
        <v/>
      </c>
      <c r="L18" s="113" t="str">
        <f>IF(K18="","",①基本データ入力!$D$12)</f>
        <v/>
      </c>
      <c r="M18" s="113"/>
      <c r="N18" s="113"/>
      <c r="O18" s="113"/>
      <c r="P18" s="113"/>
      <c r="Q18" s="111" t="s">
        <v>313</v>
      </c>
      <c r="R18" s="112" t="str">
        <f>ASC(IF(②個人種目申込!J24="自由形",10,IF(②個人種目申込!J24="背泳ぎ",20,IF(②個人種目申込!J24="平泳ぎ",30,IF(②個人種目申込!J24="バタフライ",40,IF(②個人種目申込!J24="個人メドレー",50,"")))))&amp;IF(②個人種目申込!I24=50,"050",②個人種目申込!I24))</f>
        <v/>
      </c>
      <c r="S18" s="112" t="str">
        <f>IF(R18="","",ASC(IF(LEN(②個人種目申込!K24)=1,"0"&amp;②個人種目申込!K24,②個人種目申込!K24))&amp;ASC(IF(LEN(②個人種目申込!L24)=1,"0"&amp;②個人種目申込!L24,②個人種目申込!L24))&amp;"."&amp;ASC(IF(LEN(②個人種目申込!M24)=1,"0"&amp;②個人種目申込!M24,②個人種目申込!M24)))</f>
        <v/>
      </c>
      <c r="T18" s="112" t="str">
        <f>ASC(IF(②個人種目申込!O24="自由形",10,IF(②個人種目申込!O24="背泳ぎ",20,IF(②個人種目申込!O24="平泳ぎ",30,IF(②個人種目申込!O24="バタフライ",40,IF(②個人種目申込!O24="個人メドレー",50,"")))))&amp;IF(②個人種目申込!N24=50,"050",②個人種目申込!N24))</f>
        <v/>
      </c>
      <c r="U18" s="112" t="str">
        <f>IF(T18="","",ASC(IF(LEN(②個人種目申込!P24)=1,"0"&amp;②個人種目申込!P24,②個人種目申込!P24))&amp;ASC(IF(LEN(②個人種目申込!Q24)=1,"0"&amp;②個人種目申込!Q24,②個人種目申込!Q24))&amp;"."&amp;ASC(IF(LEN(②個人種目申込!R24)=1,"0"&amp;②個人種目申込!R24,②個人種目申込!R24)))</f>
        <v/>
      </c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</row>
    <row r="19" spans="1:37" customFormat="1">
      <c r="A19" s="112">
        <v>18</v>
      </c>
      <c r="B19" s="112"/>
      <c r="C19" s="112" t="str">
        <f>IF(②個人種目申込!A25="","",ASC(IF(②個人種目申込!A25="男子",1,2)))</f>
        <v/>
      </c>
      <c r="D19" s="112" t="str">
        <f>IF(②個人種目申込!B25="","",②個人種目申込!B25)</f>
        <v/>
      </c>
      <c r="E19" s="112" t="str">
        <f>ASC(②個人種目申込!C25)</f>
        <v/>
      </c>
      <c r="F19" s="112" t="str">
        <f>IF(②個人種目申込!D25="","",ASC(②個人種目申込!D25)&amp;ASC(IF(LEN(②個人種目申込!E25)=1,"0"&amp;②個人種目申込!E25,②個人種目申込!E25))&amp;ASC(IF(LEN(②個人種目申込!F25)=1,"0"&amp;②個人種目申込!F25,②個人種目申込!F25)))</f>
        <v/>
      </c>
      <c r="G19" s="112" t="str">
        <f t="shared" si="0"/>
        <v/>
      </c>
      <c r="H19" s="112" t="str">
        <f>ASC(②個人種目申込!G25)</f>
        <v/>
      </c>
      <c r="I19" s="112"/>
      <c r="J19" s="112"/>
      <c r="K19" s="112" t="str">
        <f>②個人種目申込!H25</f>
        <v/>
      </c>
      <c r="L19" s="113" t="str">
        <f>IF(K19="","",①基本データ入力!$D$12)</f>
        <v/>
      </c>
      <c r="M19" s="113"/>
      <c r="N19" s="113"/>
      <c r="O19" s="113"/>
      <c r="P19" s="113"/>
      <c r="Q19" s="111" t="s">
        <v>313</v>
      </c>
      <c r="R19" s="112" t="str">
        <f>ASC(IF(②個人種目申込!J25="自由形",10,IF(②個人種目申込!J25="背泳ぎ",20,IF(②個人種目申込!J25="平泳ぎ",30,IF(②個人種目申込!J25="バタフライ",40,IF(②個人種目申込!J25="個人メドレー",50,"")))))&amp;IF(②個人種目申込!I25=50,"050",②個人種目申込!I25))</f>
        <v/>
      </c>
      <c r="S19" s="112" t="str">
        <f>IF(R19="","",ASC(IF(LEN(②個人種目申込!K25)=1,"0"&amp;②個人種目申込!K25,②個人種目申込!K25))&amp;ASC(IF(LEN(②個人種目申込!L25)=1,"0"&amp;②個人種目申込!L25,②個人種目申込!L25))&amp;"."&amp;ASC(IF(LEN(②個人種目申込!M25)=1,"0"&amp;②個人種目申込!M25,②個人種目申込!M25)))</f>
        <v/>
      </c>
      <c r="T19" s="112" t="str">
        <f>ASC(IF(②個人種目申込!O25="自由形",10,IF(②個人種目申込!O25="背泳ぎ",20,IF(②個人種目申込!O25="平泳ぎ",30,IF(②個人種目申込!O25="バタフライ",40,IF(②個人種目申込!O25="個人メドレー",50,"")))))&amp;IF(②個人種目申込!N25=50,"050",②個人種目申込!N25))</f>
        <v/>
      </c>
      <c r="U19" s="112" t="str">
        <f>IF(T19="","",ASC(IF(LEN(②個人種目申込!P25)=1,"0"&amp;②個人種目申込!P25,②個人種目申込!P25))&amp;ASC(IF(LEN(②個人種目申込!Q25)=1,"0"&amp;②個人種目申込!Q25,②個人種目申込!Q25))&amp;"."&amp;ASC(IF(LEN(②個人種目申込!R25)=1,"0"&amp;②個人種目申込!R25,②個人種目申込!R25)))</f>
        <v/>
      </c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</row>
    <row r="20" spans="1:37" customFormat="1">
      <c r="A20" s="112">
        <v>19</v>
      </c>
      <c r="B20" s="112"/>
      <c r="C20" s="112" t="str">
        <f>IF(②個人種目申込!A26="","",ASC(IF(②個人種目申込!A26="男子",1,2)))</f>
        <v/>
      </c>
      <c r="D20" s="112" t="str">
        <f>IF(②個人種目申込!B26="","",②個人種目申込!B26)</f>
        <v/>
      </c>
      <c r="E20" s="112" t="str">
        <f>ASC(②個人種目申込!C26)</f>
        <v/>
      </c>
      <c r="F20" s="112" t="str">
        <f>IF(②個人種目申込!D26="","",ASC(②個人種目申込!D26)&amp;ASC(IF(LEN(②個人種目申込!E26)=1,"0"&amp;②個人種目申込!E26,②個人種目申込!E26))&amp;ASC(IF(LEN(②個人種目申込!F26)=1,"0"&amp;②個人種目申込!F26,②個人種目申込!F26)))</f>
        <v/>
      </c>
      <c r="G20" s="112" t="str">
        <f t="shared" si="0"/>
        <v/>
      </c>
      <c r="H20" s="112" t="str">
        <f>ASC(②個人種目申込!G26)</f>
        <v/>
      </c>
      <c r="I20" s="112"/>
      <c r="J20" s="112"/>
      <c r="K20" s="112" t="str">
        <f>②個人種目申込!H26</f>
        <v/>
      </c>
      <c r="L20" s="113" t="str">
        <f>IF(K20="","",①基本データ入力!$D$12)</f>
        <v/>
      </c>
      <c r="M20" s="113"/>
      <c r="N20" s="113"/>
      <c r="O20" s="113"/>
      <c r="P20" s="113"/>
      <c r="Q20" s="111" t="s">
        <v>313</v>
      </c>
      <c r="R20" s="112" t="str">
        <f>ASC(IF(②個人種目申込!J26="自由形",10,IF(②個人種目申込!J26="背泳ぎ",20,IF(②個人種目申込!J26="平泳ぎ",30,IF(②個人種目申込!J26="バタフライ",40,IF(②個人種目申込!J26="個人メドレー",50,"")))))&amp;IF(②個人種目申込!I26=50,"050",②個人種目申込!I26))</f>
        <v/>
      </c>
      <c r="S20" s="112" t="str">
        <f>IF(R20="","",ASC(IF(LEN(②個人種目申込!K26)=1,"0"&amp;②個人種目申込!K26,②個人種目申込!K26))&amp;ASC(IF(LEN(②個人種目申込!L26)=1,"0"&amp;②個人種目申込!L26,②個人種目申込!L26))&amp;"."&amp;ASC(IF(LEN(②個人種目申込!M26)=1,"0"&amp;②個人種目申込!M26,②個人種目申込!M26)))</f>
        <v/>
      </c>
      <c r="T20" s="112" t="str">
        <f>ASC(IF(②個人種目申込!O26="自由形",10,IF(②個人種目申込!O26="背泳ぎ",20,IF(②個人種目申込!O26="平泳ぎ",30,IF(②個人種目申込!O26="バタフライ",40,IF(②個人種目申込!O26="個人メドレー",50,"")))))&amp;IF(②個人種目申込!N26=50,"050",②個人種目申込!N26))</f>
        <v/>
      </c>
      <c r="U20" s="112" t="str">
        <f>IF(T20="","",ASC(IF(LEN(②個人種目申込!P26)=1,"0"&amp;②個人種目申込!P26,②個人種目申込!P26))&amp;ASC(IF(LEN(②個人種目申込!Q26)=1,"0"&amp;②個人種目申込!Q26,②個人種目申込!Q26))&amp;"."&amp;ASC(IF(LEN(②個人種目申込!R26)=1,"0"&amp;②個人種目申込!R26,②個人種目申込!R26)))</f>
        <v/>
      </c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</row>
    <row r="21" spans="1:37" customFormat="1">
      <c r="A21" s="112">
        <v>20</v>
      </c>
      <c r="B21" s="112"/>
      <c r="C21" s="112" t="str">
        <f>IF(②個人種目申込!A27="","",ASC(IF(②個人種目申込!A27="男子",1,2)))</f>
        <v/>
      </c>
      <c r="D21" s="112" t="str">
        <f>IF(②個人種目申込!B27="","",②個人種目申込!B27)</f>
        <v/>
      </c>
      <c r="E21" s="112" t="str">
        <f>ASC(②個人種目申込!C27)</f>
        <v/>
      </c>
      <c r="F21" s="112" t="str">
        <f>IF(②個人種目申込!D27="","",ASC(②個人種目申込!D27)&amp;ASC(IF(LEN(②個人種目申込!E27)=1,"0"&amp;②個人種目申込!E27,②個人種目申込!E27))&amp;ASC(IF(LEN(②個人種目申込!F27)=1,"0"&amp;②個人種目申込!F27,②個人種目申込!F27)))</f>
        <v/>
      </c>
      <c r="G21" s="112" t="str">
        <f t="shared" si="0"/>
        <v/>
      </c>
      <c r="H21" s="112" t="str">
        <f>ASC(②個人種目申込!G27)</f>
        <v/>
      </c>
      <c r="I21" s="112"/>
      <c r="J21" s="112"/>
      <c r="K21" s="112" t="str">
        <f>②個人種目申込!H27</f>
        <v/>
      </c>
      <c r="L21" s="113" t="str">
        <f>IF(K21="","",①基本データ入力!$D$12)</f>
        <v/>
      </c>
      <c r="M21" s="113"/>
      <c r="N21" s="113"/>
      <c r="O21" s="113"/>
      <c r="P21" s="113"/>
      <c r="Q21" s="111" t="s">
        <v>313</v>
      </c>
      <c r="R21" s="112" t="str">
        <f>ASC(IF(②個人種目申込!J27="自由形",10,IF(②個人種目申込!J27="背泳ぎ",20,IF(②個人種目申込!J27="平泳ぎ",30,IF(②個人種目申込!J27="バタフライ",40,IF(②個人種目申込!J27="個人メドレー",50,"")))))&amp;IF(②個人種目申込!I27=50,"050",②個人種目申込!I27))</f>
        <v/>
      </c>
      <c r="S21" s="112" t="str">
        <f>IF(R21="","",ASC(IF(LEN(②個人種目申込!K27)=1,"0"&amp;②個人種目申込!K27,②個人種目申込!K27))&amp;ASC(IF(LEN(②個人種目申込!L27)=1,"0"&amp;②個人種目申込!L27,②個人種目申込!L27))&amp;"."&amp;ASC(IF(LEN(②個人種目申込!M27)=1,"0"&amp;②個人種目申込!M27,②個人種目申込!M27)))</f>
        <v/>
      </c>
      <c r="T21" s="112" t="str">
        <f>ASC(IF(②個人種目申込!O27="自由形",10,IF(②個人種目申込!O27="背泳ぎ",20,IF(②個人種目申込!O27="平泳ぎ",30,IF(②個人種目申込!O27="バタフライ",40,IF(②個人種目申込!O27="個人メドレー",50,"")))))&amp;IF(②個人種目申込!N27=50,"050",②個人種目申込!N27))</f>
        <v/>
      </c>
      <c r="U21" s="112" t="str">
        <f>IF(T21="","",ASC(IF(LEN(②個人種目申込!P27)=1,"0"&amp;②個人種目申込!P27,②個人種目申込!P27))&amp;ASC(IF(LEN(②個人種目申込!Q27)=1,"0"&amp;②個人種目申込!Q27,②個人種目申込!Q27))&amp;"."&amp;ASC(IF(LEN(②個人種目申込!R27)=1,"0"&amp;②個人種目申込!R27,②個人種目申込!R27)))</f>
        <v/>
      </c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</row>
    <row r="22" spans="1:37" customFormat="1">
      <c r="A22" s="112">
        <v>21</v>
      </c>
      <c r="B22" s="112"/>
      <c r="C22" s="112" t="str">
        <f>IF(②個人種目申込!A28="","",ASC(IF(②個人種目申込!A28="男子",1,2)))</f>
        <v/>
      </c>
      <c r="D22" s="112" t="str">
        <f>IF(②個人種目申込!B28="","",②個人種目申込!B28)</f>
        <v/>
      </c>
      <c r="E22" s="112" t="str">
        <f>ASC(②個人種目申込!C28)</f>
        <v/>
      </c>
      <c r="F22" s="112" t="str">
        <f>IF(②個人種目申込!D28="","",ASC(②個人種目申込!D28)&amp;ASC(IF(LEN(②個人種目申込!E28)=1,"0"&amp;②個人種目申込!E28,②個人種目申込!E28))&amp;ASC(IF(LEN(②個人種目申込!F28)=1,"0"&amp;②個人種目申込!F28,②個人種目申込!F28)))</f>
        <v/>
      </c>
      <c r="G22" s="112" t="str">
        <f t="shared" si="0"/>
        <v/>
      </c>
      <c r="H22" s="112" t="str">
        <f>ASC(②個人種目申込!G28)</f>
        <v/>
      </c>
      <c r="I22" s="112"/>
      <c r="J22" s="112"/>
      <c r="K22" s="112" t="str">
        <f>②個人種目申込!H28</f>
        <v/>
      </c>
      <c r="L22" s="113" t="str">
        <f>IF(K22="","",①基本データ入力!$D$12)</f>
        <v/>
      </c>
      <c r="M22" s="113"/>
      <c r="N22" s="113"/>
      <c r="O22" s="113"/>
      <c r="P22" s="113"/>
      <c r="Q22" s="111" t="s">
        <v>313</v>
      </c>
      <c r="R22" s="112" t="str">
        <f>ASC(IF(②個人種目申込!J28="自由形",10,IF(②個人種目申込!J28="背泳ぎ",20,IF(②個人種目申込!J28="平泳ぎ",30,IF(②個人種目申込!J28="バタフライ",40,IF(②個人種目申込!J28="個人メドレー",50,"")))))&amp;IF(②個人種目申込!I28=50,"050",②個人種目申込!I28))</f>
        <v/>
      </c>
      <c r="S22" s="112" t="str">
        <f>IF(R22="","",ASC(IF(LEN(②個人種目申込!K28)=1,"0"&amp;②個人種目申込!K28,②個人種目申込!K28))&amp;ASC(IF(LEN(②個人種目申込!L28)=1,"0"&amp;②個人種目申込!L28,②個人種目申込!L28))&amp;"."&amp;ASC(IF(LEN(②個人種目申込!M28)=1,"0"&amp;②個人種目申込!M28,②個人種目申込!M28)))</f>
        <v/>
      </c>
      <c r="T22" s="112" t="str">
        <f>ASC(IF(②個人種目申込!O28="自由形",10,IF(②個人種目申込!O28="背泳ぎ",20,IF(②個人種目申込!O28="平泳ぎ",30,IF(②個人種目申込!O28="バタフライ",40,IF(②個人種目申込!O28="個人メドレー",50,"")))))&amp;IF(②個人種目申込!N28=50,"050",②個人種目申込!N28))</f>
        <v/>
      </c>
      <c r="U22" s="112" t="str">
        <f>IF(T22="","",ASC(IF(LEN(②個人種目申込!P28)=1,"0"&amp;②個人種目申込!P28,②個人種目申込!P28))&amp;ASC(IF(LEN(②個人種目申込!Q28)=1,"0"&amp;②個人種目申込!Q28,②個人種目申込!Q28))&amp;"."&amp;ASC(IF(LEN(②個人種目申込!R28)=1,"0"&amp;②個人種目申込!R28,②個人種目申込!R28)))</f>
        <v/>
      </c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</row>
    <row r="23" spans="1:37" customFormat="1">
      <c r="A23" s="112">
        <v>22</v>
      </c>
      <c r="B23" s="112"/>
      <c r="C23" s="112" t="str">
        <f>IF(②個人種目申込!A29="","",ASC(IF(②個人種目申込!A29="男子",1,2)))</f>
        <v/>
      </c>
      <c r="D23" s="112" t="str">
        <f>IF(②個人種目申込!B29="","",②個人種目申込!B29)</f>
        <v/>
      </c>
      <c r="E23" s="112" t="str">
        <f>ASC(②個人種目申込!C29)</f>
        <v/>
      </c>
      <c r="F23" s="112" t="str">
        <f>IF(②個人種目申込!D29="","",ASC(②個人種目申込!D29)&amp;ASC(IF(LEN(②個人種目申込!E29)=1,"0"&amp;②個人種目申込!E29,②個人種目申込!E29))&amp;ASC(IF(LEN(②個人種目申込!F29)=1,"0"&amp;②個人種目申込!F29,②個人種目申込!F29)))</f>
        <v/>
      </c>
      <c r="G23" s="112" t="str">
        <f t="shared" si="0"/>
        <v/>
      </c>
      <c r="H23" s="112" t="str">
        <f>ASC(②個人種目申込!G29)</f>
        <v/>
      </c>
      <c r="I23" s="112"/>
      <c r="J23" s="112"/>
      <c r="K23" s="112" t="str">
        <f>②個人種目申込!H29</f>
        <v/>
      </c>
      <c r="L23" s="113" t="str">
        <f>IF(K23="","",①基本データ入力!$D$12)</f>
        <v/>
      </c>
      <c r="M23" s="113"/>
      <c r="N23" s="113"/>
      <c r="O23" s="113"/>
      <c r="P23" s="113"/>
      <c r="Q23" s="111" t="s">
        <v>313</v>
      </c>
      <c r="R23" s="112" t="str">
        <f>ASC(IF(②個人種目申込!J29="自由形",10,IF(②個人種目申込!J29="背泳ぎ",20,IF(②個人種目申込!J29="平泳ぎ",30,IF(②個人種目申込!J29="バタフライ",40,IF(②個人種目申込!J29="個人メドレー",50,"")))))&amp;IF(②個人種目申込!I29=50,"050",②個人種目申込!I29))</f>
        <v/>
      </c>
      <c r="S23" s="112" t="str">
        <f>IF(R23="","",ASC(IF(LEN(②個人種目申込!K29)=1,"0"&amp;②個人種目申込!K29,②個人種目申込!K29))&amp;ASC(IF(LEN(②個人種目申込!L29)=1,"0"&amp;②個人種目申込!L29,②個人種目申込!L29))&amp;"."&amp;ASC(IF(LEN(②個人種目申込!M29)=1,"0"&amp;②個人種目申込!M29,②個人種目申込!M29)))</f>
        <v/>
      </c>
      <c r="T23" s="112" t="str">
        <f>ASC(IF(②個人種目申込!O29="自由形",10,IF(②個人種目申込!O29="背泳ぎ",20,IF(②個人種目申込!O29="平泳ぎ",30,IF(②個人種目申込!O29="バタフライ",40,IF(②個人種目申込!O29="個人メドレー",50,"")))))&amp;IF(②個人種目申込!N29=50,"050",②個人種目申込!N29))</f>
        <v/>
      </c>
      <c r="U23" s="112" t="str">
        <f>IF(T23="","",ASC(IF(LEN(②個人種目申込!P29)=1,"0"&amp;②個人種目申込!P29,②個人種目申込!P29))&amp;ASC(IF(LEN(②個人種目申込!Q29)=1,"0"&amp;②個人種目申込!Q29,②個人種目申込!Q29))&amp;"."&amp;ASC(IF(LEN(②個人種目申込!R29)=1,"0"&amp;②個人種目申込!R29,②個人種目申込!R29)))</f>
        <v/>
      </c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</row>
    <row r="24" spans="1:37" customFormat="1">
      <c r="A24" s="112">
        <v>23</v>
      </c>
      <c r="B24" s="112"/>
      <c r="C24" s="112" t="str">
        <f>IF(②個人種目申込!A30="","",ASC(IF(②個人種目申込!A30="男子",1,2)))</f>
        <v/>
      </c>
      <c r="D24" s="112" t="str">
        <f>IF(②個人種目申込!B30="","",②個人種目申込!B30)</f>
        <v/>
      </c>
      <c r="E24" s="112" t="str">
        <f>ASC(②個人種目申込!C30)</f>
        <v/>
      </c>
      <c r="F24" s="112" t="str">
        <f>IF(②個人種目申込!D30="","",ASC(②個人種目申込!D30)&amp;ASC(IF(LEN(②個人種目申込!E30)=1,"0"&amp;②個人種目申込!E30,②個人種目申込!E30))&amp;ASC(IF(LEN(②個人種目申込!F30)=1,"0"&amp;②個人種目申込!F30,②個人種目申込!F30)))</f>
        <v/>
      </c>
      <c r="G24" s="112" t="str">
        <f t="shared" si="0"/>
        <v/>
      </c>
      <c r="H24" s="112" t="str">
        <f>ASC(②個人種目申込!G30)</f>
        <v/>
      </c>
      <c r="I24" s="112"/>
      <c r="J24" s="112"/>
      <c r="K24" s="112" t="str">
        <f>②個人種目申込!H30</f>
        <v/>
      </c>
      <c r="L24" s="113" t="str">
        <f>IF(K24="","",①基本データ入力!$D$12)</f>
        <v/>
      </c>
      <c r="M24" s="113"/>
      <c r="N24" s="113"/>
      <c r="O24" s="113"/>
      <c r="P24" s="113"/>
      <c r="Q24" s="111" t="s">
        <v>313</v>
      </c>
      <c r="R24" s="112" t="str">
        <f>ASC(IF(②個人種目申込!J30="自由形",10,IF(②個人種目申込!J30="背泳ぎ",20,IF(②個人種目申込!J30="平泳ぎ",30,IF(②個人種目申込!J30="バタフライ",40,IF(②個人種目申込!J30="個人メドレー",50,"")))))&amp;IF(②個人種目申込!I30=50,"050",②個人種目申込!I30))</f>
        <v/>
      </c>
      <c r="S24" s="112" t="str">
        <f>IF(R24="","",ASC(IF(LEN(②個人種目申込!K30)=1,"0"&amp;②個人種目申込!K30,②個人種目申込!K30))&amp;ASC(IF(LEN(②個人種目申込!L30)=1,"0"&amp;②個人種目申込!L30,②個人種目申込!L30))&amp;"."&amp;ASC(IF(LEN(②個人種目申込!M30)=1,"0"&amp;②個人種目申込!M30,②個人種目申込!M30)))</f>
        <v/>
      </c>
      <c r="T24" s="112" t="str">
        <f>ASC(IF(②個人種目申込!O30="自由形",10,IF(②個人種目申込!O30="背泳ぎ",20,IF(②個人種目申込!O30="平泳ぎ",30,IF(②個人種目申込!O30="バタフライ",40,IF(②個人種目申込!O30="個人メドレー",50,"")))))&amp;IF(②個人種目申込!N30=50,"050",②個人種目申込!N30))</f>
        <v/>
      </c>
      <c r="U24" s="112" t="str">
        <f>IF(T24="","",ASC(IF(LEN(②個人種目申込!P30)=1,"0"&amp;②個人種目申込!P30,②個人種目申込!P30))&amp;ASC(IF(LEN(②個人種目申込!Q30)=1,"0"&amp;②個人種目申込!Q30,②個人種目申込!Q30))&amp;"."&amp;ASC(IF(LEN(②個人種目申込!R30)=1,"0"&amp;②個人種目申込!R30,②個人種目申込!R30)))</f>
        <v/>
      </c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</row>
    <row r="25" spans="1:37" customFormat="1">
      <c r="A25" s="112">
        <v>24</v>
      </c>
      <c r="B25" s="112"/>
      <c r="C25" s="112" t="str">
        <f>IF(②個人種目申込!A31="","",ASC(IF(②個人種目申込!A31="男子",1,2)))</f>
        <v/>
      </c>
      <c r="D25" s="112" t="str">
        <f>IF(②個人種目申込!B31="","",②個人種目申込!B31)</f>
        <v/>
      </c>
      <c r="E25" s="112" t="str">
        <f>ASC(②個人種目申込!C31)</f>
        <v/>
      </c>
      <c r="F25" s="112" t="str">
        <f>IF(②個人種目申込!D31="","",ASC(②個人種目申込!D31)&amp;ASC(IF(LEN(②個人種目申込!E31)=1,"0"&amp;②個人種目申込!E31,②個人種目申込!E31))&amp;ASC(IF(LEN(②個人種目申込!F31)=1,"0"&amp;②個人種目申込!F31,②個人種目申込!F31)))</f>
        <v/>
      </c>
      <c r="G25" s="112" t="str">
        <f t="shared" si="0"/>
        <v/>
      </c>
      <c r="H25" s="112" t="str">
        <f>ASC(②個人種目申込!G31)</f>
        <v/>
      </c>
      <c r="I25" s="112"/>
      <c r="J25" s="112"/>
      <c r="K25" s="112" t="str">
        <f>②個人種目申込!H31</f>
        <v/>
      </c>
      <c r="L25" s="113" t="str">
        <f>IF(K25="","",①基本データ入力!$D$12)</f>
        <v/>
      </c>
      <c r="M25" s="113"/>
      <c r="N25" s="113"/>
      <c r="O25" s="113"/>
      <c r="P25" s="113"/>
      <c r="Q25" s="111" t="s">
        <v>313</v>
      </c>
      <c r="R25" s="112" t="str">
        <f>ASC(IF(②個人種目申込!J31="自由形",10,IF(②個人種目申込!J31="背泳ぎ",20,IF(②個人種目申込!J31="平泳ぎ",30,IF(②個人種目申込!J31="バタフライ",40,IF(②個人種目申込!J31="個人メドレー",50,"")))))&amp;IF(②個人種目申込!I31=50,"050",②個人種目申込!I31))</f>
        <v/>
      </c>
      <c r="S25" s="112" t="str">
        <f>IF(R25="","",ASC(IF(LEN(②個人種目申込!K31)=1,"0"&amp;②個人種目申込!K31,②個人種目申込!K31))&amp;ASC(IF(LEN(②個人種目申込!L31)=1,"0"&amp;②個人種目申込!L31,②個人種目申込!L31))&amp;"."&amp;ASC(IF(LEN(②個人種目申込!M31)=1,"0"&amp;②個人種目申込!M31,②個人種目申込!M31)))</f>
        <v/>
      </c>
      <c r="T25" s="112" t="str">
        <f>ASC(IF(②個人種目申込!O31="自由形",10,IF(②個人種目申込!O31="背泳ぎ",20,IF(②個人種目申込!O31="平泳ぎ",30,IF(②個人種目申込!O31="バタフライ",40,IF(②個人種目申込!O31="個人メドレー",50,"")))))&amp;IF(②個人種目申込!N31=50,"050",②個人種目申込!N31))</f>
        <v/>
      </c>
      <c r="U25" s="112" t="str">
        <f>IF(T25="","",ASC(IF(LEN(②個人種目申込!P31)=1,"0"&amp;②個人種目申込!P31,②個人種目申込!P31))&amp;ASC(IF(LEN(②個人種目申込!Q31)=1,"0"&amp;②個人種目申込!Q31,②個人種目申込!Q31))&amp;"."&amp;ASC(IF(LEN(②個人種目申込!R31)=1,"0"&amp;②個人種目申込!R31,②個人種目申込!R31)))</f>
        <v/>
      </c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</row>
    <row r="26" spans="1:37" customFormat="1">
      <c r="A26" s="112">
        <v>25</v>
      </c>
      <c r="B26" s="112"/>
      <c r="C26" s="112" t="str">
        <f>IF(②個人種目申込!A32="","",ASC(IF(②個人種目申込!A32="男子",1,2)))</f>
        <v/>
      </c>
      <c r="D26" s="112" t="str">
        <f>IF(②個人種目申込!B32="","",②個人種目申込!B32)</f>
        <v/>
      </c>
      <c r="E26" s="112" t="str">
        <f>ASC(②個人種目申込!C32)</f>
        <v/>
      </c>
      <c r="F26" s="112" t="str">
        <f>IF(②個人種目申込!D32="","",ASC(②個人種目申込!D32)&amp;ASC(IF(LEN(②個人種目申込!E32)=1,"0"&amp;②個人種目申込!E32,②個人種目申込!E32))&amp;ASC(IF(LEN(②個人種目申込!F32)=1,"0"&amp;②個人種目申込!F32,②個人種目申込!F32)))</f>
        <v/>
      </c>
      <c r="G26" s="112" t="str">
        <f t="shared" si="0"/>
        <v/>
      </c>
      <c r="H26" s="112" t="str">
        <f>ASC(②個人種目申込!G32)</f>
        <v/>
      </c>
      <c r="I26" s="112"/>
      <c r="J26" s="112"/>
      <c r="K26" s="112" t="str">
        <f>②個人種目申込!H32</f>
        <v/>
      </c>
      <c r="L26" s="113" t="str">
        <f>IF(K26="","",①基本データ入力!$D$12)</f>
        <v/>
      </c>
      <c r="M26" s="113"/>
      <c r="N26" s="113"/>
      <c r="O26" s="113"/>
      <c r="P26" s="113"/>
      <c r="Q26" s="111" t="s">
        <v>313</v>
      </c>
      <c r="R26" s="112" t="str">
        <f>ASC(IF(②個人種目申込!J32="自由形",10,IF(②個人種目申込!J32="背泳ぎ",20,IF(②個人種目申込!J32="平泳ぎ",30,IF(②個人種目申込!J32="バタフライ",40,IF(②個人種目申込!J32="個人メドレー",50,"")))))&amp;IF(②個人種目申込!I32=50,"050",②個人種目申込!I32))</f>
        <v/>
      </c>
      <c r="S26" s="112" t="str">
        <f>IF(R26="","",ASC(IF(LEN(②個人種目申込!K32)=1,"0"&amp;②個人種目申込!K32,②個人種目申込!K32))&amp;ASC(IF(LEN(②個人種目申込!L32)=1,"0"&amp;②個人種目申込!L32,②個人種目申込!L32))&amp;"."&amp;ASC(IF(LEN(②個人種目申込!M32)=1,"0"&amp;②個人種目申込!M32,②個人種目申込!M32)))</f>
        <v/>
      </c>
      <c r="T26" s="112" t="str">
        <f>ASC(IF(②個人種目申込!O32="自由形",10,IF(②個人種目申込!O32="背泳ぎ",20,IF(②個人種目申込!O32="平泳ぎ",30,IF(②個人種目申込!O32="バタフライ",40,IF(②個人種目申込!O32="個人メドレー",50,"")))))&amp;IF(②個人種目申込!N32=50,"050",②個人種目申込!N32))</f>
        <v/>
      </c>
      <c r="U26" s="112" t="str">
        <f>IF(T26="","",ASC(IF(LEN(②個人種目申込!P32)=1,"0"&amp;②個人種目申込!P32,②個人種目申込!P32))&amp;ASC(IF(LEN(②個人種目申込!Q32)=1,"0"&amp;②個人種目申込!Q32,②個人種目申込!Q32))&amp;"."&amp;ASC(IF(LEN(②個人種目申込!R32)=1,"0"&amp;②個人種目申込!R32,②個人種目申込!R32)))</f>
        <v/>
      </c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</row>
  </sheetData>
  <phoneticPr fontId="4"/>
  <dataValidations count="4">
    <dataValidation imeMode="hiragana" allowBlank="1" showInputMessage="1" showErrorMessage="1" sqref="D1 D27:D65535" xr:uid="{00000000-0002-0000-0500-000000000000}"/>
    <dataValidation imeMode="on" allowBlank="1" showInputMessage="1" showErrorMessage="1" sqref="O27:O65535 M27:M65535 O1 K1 M1 K27:K65535" xr:uid="{00000000-0002-0000-0500-000001000000}"/>
    <dataValidation imeMode="off" allowBlank="1" showInputMessage="1" showErrorMessage="1" sqref="Q27:AK65535 Q2:Q26 B27:C65535 B1:C1 F1:J1 Q1:AK1 F27:J65535" xr:uid="{00000000-0002-0000-0500-000002000000}"/>
    <dataValidation imeMode="halfKatakana" allowBlank="1" showInputMessage="1" showErrorMessage="1" sqref="N27:N65535 E1 L1 N1 P1 E27:E65535 L27:L65535 P27:P65535" xr:uid="{00000000-0002-0000-0500-000003000000}"/>
  </dataValidations>
  <pageMargins left="0.78700000000000003" right="0.78700000000000003" top="0.98399999999999999" bottom="0.98399999999999999" header="0.51200000000000001" footer="0.51200000000000001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6"/>
  <sheetViews>
    <sheetView workbookViewId="0">
      <selection activeCell="N16" sqref="N16"/>
    </sheetView>
  </sheetViews>
  <sheetFormatPr defaultColWidth="9" defaultRowHeight="13.5"/>
  <cols>
    <col min="1" max="1" width="12.125" style="110" customWidth="1"/>
    <col min="2" max="2" width="15.5" style="110" customWidth="1"/>
    <col min="3" max="3" width="16" style="110" customWidth="1"/>
    <col min="4" max="5" width="10.625" style="110" customWidth="1"/>
    <col min="6" max="6" width="6.75" style="110" customWidth="1"/>
    <col min="7" max="7" width="6.375" style="110" customWidth="1"/>
    <col min="8" max="8" width="6.75" style="110" customWidth="1"/>
    <col min="9" max="9" width="8" style="110" customWidth="1"/>
    <col min="10" max="10" width="11.125" style="110" customWidth="1"/>
    <col min="11" max="11" width="9" style="1"/>
    <col min="12" max="12" width="10.625" style="107" customWidth="1"/>
    <col min="13" max="13" width="9" style="107"/>
    <col min="14" max="14" width="31.625" style="107" customWidth="1"/>
    <col min="15" max="16" width="17.125" style="107" customWidth="1"/>
    <col min="17" max="17" width="9" style="107"/>
    <col min="18" max="18" width="11" style="107" bestFit="1" customWidth="1"/>
    <col min="19" max="22" width="14.5" style="107" customWidth="1"/>
    <col min="23" max="23" width="17.625" style="107" customWidth="1"/>
    <col min="24" max="24" width="9" style="1"/>
    <col min="25" max="25" width="19.125" style="1" customWidth="1"/>
    <col min="26" max="26" width="2.5" style="1" bestFit="1" customWidth="1"/>
    <col min="27" max="27" width="3.5" style="1" bestFit="1" customWidth="1"/>
    <col min="28" max="28" width="2.5" style="1" bestFit="1" customWidth="1"/>
    <col min="29" max="29" width="5.125" style="1" bestFit="1" customWidth="1"/>
    <col min="30" max="16384" width="9" style="1"/>
  </cols>
  <sheetData>
    <row r="1" spans="1:29" ht="15" customHeight="1">
      <c r="A1" s="108" t="s">
        <v>98</v>
      </c>
      <c r="B1" s="108" t="s">
        <v>99</v>
      </c>
      <c r="C1" s="108" t="s">
        <v>100</v>
      </c>
      <c r="D1" s="108" t="s">
        <v>101</v>
      </c>
      <c r="E1" s="108" t="s">
        <v>102</v>
      </c>
      <c r="F1" s="108" t="s">
        <v>82</v>
      </c>
      <c r="G1" s="108" t="s">
        <v>84</v>
      </c>
      <c r="H1" s="108" t="s">
        <v>78</v>
      </c>
      <c r="I1" s="108" t="s">
        <v>103</v>
      </c>
      <c r="J1" s="108" t="s">
        <v>104</v>
      </c>
    </row>
    <row r="2" spans="1:29" customFormat="1">
      <c r="A2" s="109"/>
      <c r="B2" s="109" t="str">
        <f>③リレー申込!B13</f>
        <v/>
      </c>
      <c r="C2" s="109" t="str">
        <f>IF(B2="","",①基本データ入力!$D$12)</f>
        <v/>
      </c>
      <c r="D2" s="109"/>
      <c r="E2" s="109"/>
      <c r="F2" s="109" t="str">
        <f>IF(B2="","",2)</f>
        <v/>
      </c>
      <c r="G2" s="109"/>
      <c r="H2" s="109" t="str">
        <f>IF(B2="","",ASC(IF(③リレー申込!D13="","",IF(③リレー申込!D13="男子",1,2))))</f>
        <v/>
      </c>
      <c r="I2" s="109" t="str">
        <f>IF(B2="","",ASC(IF(③リレー申込!C13="ﾌﾘｰﾘﾚｰ",60,IF(③リレー申込!C13="ﾒﾄﾞﾚｰﾘﾚｰ",70,""))&amp;400))</f>
        <v/>
      </c>
      <c r="J2" s="109" t="str">
        <f>IF(B2="","",ASC(IF(LEN(③リレー申込!F13)=1,"0"&amp;③リレー申込!F13,③リレー申込!F13))&amp;ASC(IF(LEN(③リレー申込!G13)=1,"0"&amp;③リレー申込!G13,③リレー申込!G13))&amp;"."&amp;ASC(IF(LEN(③リレー申込!H13)=1,"0"&amp;③リレー申込!H13,③リレー申込!H13)))</f>
        <v/>
      </c>
      <c r="L2" s="106">
        <f>①基本データ入力!D13</f>
        <v>0</v>
      </c>
      <c r="M2" s="106" t="str">
        <f>①基本データ入力!N11</f>
        <v/>
      </c>
      <c r="N2" s="106" t="str">
        <f>①基本データ入力!N12</f>
        <v/>
      </c>
      <c r="O2" s="106" t="str">
        <f>①基本データ入力!N13</f>
        <v/>
      </c>
      <c r="P2" s="106"/>
      <c r="Q2" s="106">
        <f>①基本データ入力!D16</f>
        <v>0</v>
      </c>
      <c r="R2" s="106">
        <f>①基本データ入力!D18</f>
        <v>0</v>
      </c>
      <c r="S2" s="106">
        <f>①基本データ入力!D21</f>
        <v>0</v>
      </c>
      <c r="T2" s="106">
        <f>①基本データ入力!L21</f>
        <v>0</v>
      </c>
      <c r="U2" s="106">
        <f>①基本データ入力!D23</f>
        <v>0</v>
      </c>
      <c r="V2" s="106">
        <f>①基本データ入力!L23</f>
        <v>0</v>
      </c>
      <c r="W2" s="106">
        <f>①基本データ入力!Q21</f>
        <v>0</v>
      </c>
      <c r="X2" s="1"/>
      <c r="Y2" s="131">
        <f>①基本データ入力!D21</f>
        <v>0</v>
      </c>
      <c r="Z2" s="134" t="s">
        <v>278</v>
      </c>
      <c r="AA2" s="132">
        <f>①基本データ入力!H21</f>
        <v>0</v>
      </c>
      <c r="AB2" s="135" t="s">
        <v>279</v>
      </c>
      <c r="AC2" s="133">
        <f>①基本データ入力!J21</f>
        <v>0</v>
      </c>
    </row>
    <row r="3" spans="1:29" customFormat="1">
      <c r="A3" s="109"/>
      <c r="B3" s="109" t="str">
        <f>③リレー申込!B14</f>
        <v/>
      </c>
      <c r="C3" s="109" t="str">
        <f>IF(B3="","",①基本データ入力!$D$12)</f>
        <v/>
      </c>
      <c r="D3" s="109"/>
      <c r="E3" s="109"/>
      <c r="F3" s="109" t="str">
        <f t="shared" ref="F3:F5" si="0">IF(B3="","",2)</f>
        <v/>
      </c>
      <c r="G3" s="109"/>
      <c r="H3" s="109" t="str">
        <f>IF(B3="","",ASC(IF(③リレー申込!D14="","",IF(③リレー申込!D14="男子",1,2))))</f>
        <v/>
      </c>
      <c r="I3" s="109" t="str">
        <f>IF(B3="","",ASC(IF(③リレー申込!C14="ﾌﾘｰﾘﾚｰ",60,IF(③リレー申込!C14="ﾒﾄﾞﾚｰﾘﾚｰ",70,""))&amp;400))</f>
        <v/>
      </c>
      <c r="J3" s="109" t="str">
        <f>IF(B3="","",ASC(IF(LEN(③リレー申込!F14)=1,"0"&amp;③リレー申込!F14,③リレー申込!F14))&amp;ASC(IF(LEN(③リレー申込!G14)=1,"0"&amp;③リレー申込!G14,③リレー申込!G14))&amp;"."&amp;ASC(IF(LEN(③リレー申込!H14)=1,"0"&amp;③リレー申込!H14,③リレー申込!H14)))</f>
        <v/>
      </c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Y3" s="131">
        <f>①基本データ入力!D23</f>
        <v>0</v>
      </c>
      <c r="Z3" s="134" t="s">
        <v>278</v>
      </c>
      <c r="AA3" s="132">
        <f>①基本データ入力!H23</f>
        <v>0</v>
      </c>
      <c r="AB3" s="135" t="s">
        <v>279</v>
      </c>
      <c r="AC3" s="133">
        <f>①基本データ入力!J23</f>
        <v>0</v>
      </c>
    </row>
    <row r="4" spans="1:29" customFormat="1">
      <c r="A4" s="109"/>
      <c r="B4" s="109" t="str">
        <f>③リレー申込!B15</f>
        <v/>
      </c>
      <c r="C4" s="109" t="str">
        <f>IF(B4="","",①基本データ入力!$D$12)</f>
        <v/>
      </c>
      <c r="D4" s="109"/>
      <c r="E4" s="109"/>
      <c r="F4" s="109" t="str">
        <f t="shared" si="0"/>
        <v/>
      </c>
      <c r="G4" s="109"/>
      <c r="H4" s="109" t="str">
        <f>IF(B4="","",ASC(IF(③リレー申込!D15="","",IF(③リレー申込!D15="男子",1,2))))</f>
        <v/>
      </c>
      <c r="I4" s="109" t="str">
        <f>IF(B4="","",ASC(IF(③リレー申込!C15="ﾌﾘｰﾘﾚｰ",60,IF(③リレー申込!C15="ﾒﾄﾞﾚｰﾘﾚｰ",70,""))&amp;400))</f>
        <v/>
      </c>
      <c r="J4" s="109" t="str">
        <f>IF(B4="","",ASC(IF(LEN(③リレー申込!F15)=1,"0"&amp;③リレー申込!F15,③リレー申込!F15))&amp;ASC(IF(LEN(③リレー申込!G15)=1,"0"&amp;③リレー申込!G15,③リレー申込!G15))&amp;"."&amp;ASC(IF(LEN(③リレー申込!H15)=1,"0"&amp;③リレー申込!H15,③リレー申込!H15)))</f>
        <v/>
      </c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</row>
    <row r="5" spans="1:29" customFormat="1">
      <c r="A5" s="109"/>
      <c r="B5" s="109" t="str">
        <f>③リレー申込!B16</f>
        <v/>
      </c>
      <c r="C5" s="109" t="str">
        <f>IF(B5="","",①基本データ入力!$D$12)</f>
        <v/>
      </c>
      <c r="D5" s="109"/>
      <c r="E5" s="109"/>
      <c r="F5" s="109" t="str">
        <f t="shared" si="0"/>
        <v/>
      </c>
      <c r="G5" s="109"/>
      <c r="H5" s="109" t="str">
        <f>IF(B5="","",ASC(IF(③リレー申込!D16="","",IF(③リレー申込!D16="男子",1,2))))</f>
        <v/>
      </c>
      <c r="I5" s="109" t="str">
        <f>IF(B5="","",ASC(IF(③リレー申込!C16="ﾌﾘｰﾘﾚｰ",60,IF(③リレー申込!C16="ﾒﾄﾞﾚｰﾘﾚｰ",70,""))&amp;400))</f>
        <v/>
      </c>
      <c r="J5" s="109" t="str">
        <f>IF(B5="","",ASC(IF(LEN(③リレー申込!F16)=1,"0"&amp;③リレー申込!F16,③リレー申込!F16))&amp;ASC(IF(LEN(③リレー申込!G16)=1,"0"&amp;③リレー申込!G16,③リレー申込!G16))&amp;"."&amp;ASC(IF(LEN(③リレー申込!H16)=1,"0"&amp;③リレー申込!H16,③リレー申込!H16)))</f>
        <v/>
      </c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</row>
    <row r="6" spans="1:29" customFormat="1">
      <c r="A6" s="110"/>
      <c r="B6" s="110"/>
      <c r="C6" s="110"/>
      <c r="D6" s="110"/>
      <c r="E6" s="110"/>
      <c r="F6" s="110"/>
      <c r="G6" s="110"/>
      <c r="H6" s="110"/>
      <c r="I6" s="110"/>
      <c r="J6" s="110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</row>
    <row r="7" spans="1:29" customFormat="1">
      <c r="A7" s="110"/>
      <c r="B7" s="110"/>
      <c r="C7" s="110"/>
      <c r="D7" s="110"/>
      <c r="E7" s="110"/>
      <c r="F7" s="110"/>
      <c r="G7" s="110"/>
      <c r="H7" s="110"/>
      <c r="I7" s="110"/>
      <c r="J7" s="110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</row>
    <row r="8" spans="1:29" customFormat="1">
      <c r="A8" s="110"/>
      <c r="B8" s="110"/>
      <c r="C8" s="110"/>
      <c r="D8" s="110"/>
      <c r="E8" s="110"/>
      <c r="F8" s="110"/>
      <c r="G8" s="110"/>
      <c r="H8" s="110"/>
      <c r="I8" s="110"/>
      <c r="J8" s="110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</row>
    <row r="9" spans="1:29" customFormat="1">
      <c r="A9" s="110"/>
      <c r="B9" s="110"/>
      <c r="C9" s="110"/>
      <c r="D9" s="110"/>
      <c r="E9" s="110"/>
      <c r="F9" s="110"/>
      <c r="G9" s="110"/>
      <c r="H9" s="110"/>
      <c r="I9" s="110"/>
      <c r="J9" s="110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</row>
    <row r="10" spans="1:29" customFormat="1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</row>
    <row r="11" spans="1:29" customFormat="1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</row>
    <row r="12" spans="1:29" customFormat="1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</row>
    <row r="13" spans="1:29" customFormat="1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</row>
    <row r="14" spans="1:29" customFormat="1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</row>
    <row r="15" spans="1:29" customFormat="1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</row>
    <row r="16" spans="1:29" customFormat="1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1:23" customFormat="1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1:23" customFormat="1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</row>
    <row r="19" spans="1:23" customFormat="1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</row>
    <row r="20" spans="1:23" customFormat="1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</row>
    <row r="21" spans="1:23" customFormat="1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</row>
    <row r="22" spans="1:23" customFormat="1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</row>
    <row r="23" spans="1:23" customFormat="1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</row>
    <row r="24" spans="1:23" customFormat="1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</row>
    <row r="25" spans="1:23" customFormat="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</row>
    <row r="26" spans="1:23" customFormat="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</row>
  </sheetData>
  <phoneticPr fontId="4"/>
  <dataValidations count="3">
    <dataValidation imeMode="hiragana" allowBlank="1" showInputMessage="1" showErrorMessage="1" sqref="B1:B1048576" xr:uid="{00000000-0002-0000-0600-000000000000}"/>
    <dataValidation imeMode="off" allowBlank="1" showInputMessage="1" showErrorMessage="1" sqref="D1:E1048576 G1:J1048576 F1 F6:F1048576" xr:uid="{00000000-0002-0000-0600-000001000000}"/>
    <dataValidation imeMode="halfKatakana" allowBlank="1" showInputMessage="1" showErrorMessage="1" sqref="C17:C65535 C1:C8 F2:F5" xr:uid="{00000000-0002-0000-0600-000002000000}"/>
  </dataValidations>
  <pageMargins left="0.78700000000000003" right="0.78700000000000003" top="0.98399999999999999" bottom="0.98399999999999999" header="0.51200000000000001" footer="0.51200000000000001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topLeftCell="G1" workbookViewId="0">
      <selection activeCell="U8" sqref="U8"/>
    </sheetView>
  </sheetViews>
  <sheetFormatPr defaultColWidth="9" defaultRowHeight="13.5"/>
  <cols>
    <col min="1" max="1" width="10.625" style="107" customWidth="1"/>
    <col min="2" max="2" width="9" style="107"/>
    <col min="3" max="3" width="31.625" style="107" customWidth="1"/>
    <col min="4" max="5" width="17.125" style="107" customWidth="1"/>
    <col min="6" max="6" width="9" style="107"/>
    <col min="7" max="7" width="11" style="107" bestFit="1" customWidth="1"/>
    <col min="8" max="11" width="14.5" style="107" customWidth="1"/>
    <col min="12" max="12" width="17.625" style="107" customWidth="1"/>
    <col min="13" max="14" width="9" style="1"/>
    <col min="15" max="15" width="19.125" style="1" customWidth="1"/>
    <col min="16" max="16" width="2.5" style="1" bestFit="1" customWidth="1"/>
    <col min="17" max="17" width="3.5" style="1" bestFit="1" customWidth="1"/>
    <col min="18" max="18" width="2.5" style="1" bestFit="1" customWidth="1"/>
    <col min="19" max="19" width="5.125" style="1" bestFit="1" customWidth="1"/>
    <col min="20" max="20" width="15.375" style="1" bestFit="1" customWidth="1"/>
    <col min="21" max="21" width="20.75" style="1" customWidth="1"/>
    <col min="22" max="16384" width="9" style="1"/>
  </cols>
  <sheetData>
    <row r="1" spans="1:21" ht="15" customHeight="1"/>
    <row r="2" spans="1:21" customFormat="1">
      <c r="A2" s="106">
        <f>①基本データ入力!D13</f>
        <v>0</v>
      </c>
      <c r="B2" s="106" t="str">
        <f>①基本データ入力!N11</f>
        <v/>
      </c>
      <c r="C2" s="106" t="str">
        <f>①基本データ入力!N12</f>
        <v/>
      </c>
      <c r="D2" s="106" t="str">
        <f>①基本データ入力!N13</f>
        <v/>
      </c>
      <c r="E2" s="106"/>
      <c r="F2" s="106">
        <f>①基本データ入力!D16</f>
        <v>0</v>
      </c>
      <c r="G2" s="106">
        <f>①基本データ入力!D18</f>
        <v>0</v>
      </c>
      <c r="H2" s="106">
        <f>①基本データ入力!D21</f>
        <v>0</v>
      </c>
      <c r="I2" s="106">
        <f>①基本データ入力!L21</f>
        <v>0</v>
      </c>
      <c r="J2" s="106">
        <f>①基本データ入力!D23</f>
        <v>0</v>
      </c>
      <c r="K2" s="106">
        <f>①基本データ入力!L23</f>
        <v>0</v>
      </c>
      <c r="L2" s="106">
        <f>①基本データ入力!Q21</f>
        <v>0</v>
      </c>
      <c r="N2">
        <f>①基本データ入力!D13</f>
        <v>0</v>
      </c>
      <c r="O2" s="131">
        <f>①基本データ入力!D21</f>
        <v>0</v>
      </c>
      <c r="P2" s="134" t="s">
        <v>278</v>
      </c>
      <c r="Q2" s="132">
        <f>①基本データ入力!H21</f>
        <v>0</v>
      </c>
      <c r="R2" s="135" t="s">
        <v>279</v>
      </c>
      <c r="S2" s="133">
        <f>①基本データ入力!J21</f>
        <v>0</v>
      </c>
      <c r="T2">
        <f>①基本データ入力!L21</f>
        <v>0</v>
      </c>
      <c r="U2" t="str">
        <f>IF(①基本データ入力!Q21&lt;&gt;"",①基本データ入力!Q21,"")</f>
        <v/>
      </c>
    </row>
    <row r="3" spans="1:21" customForma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N3">
        <f>IF(J2="","",①基本データ入力!D13)</f>
        <v>0</v>
      </c>
      <c r="O3" s="131">
        <f>IF(J2="","",①基本データ入力!D23)</f>
        <v>0</v>
      </c>
      <c r="P3" s="134" t="str">
        <f>IF(J2="","","(")</f>
        <v>(</v>
      </c>
      <c r="Q3" s="132">
        <f>IF(J2="","",①基本データ入力!H23)</f>
        <v>0</v>
      </c>
      <c r="R3" s="135" t="str">
        <f>IF(J2="","",")")</f>
        <v>)</v>
      </c>
      <c r="S3" s="133">
        <f>IF(J2="","",①基本データ入力!J23)</f>
        <v>0</v>
      </c>
      <c r="T3">
        <f>IF(J2="","",①基本データ入力!L23)</f>
        <v>0</v>
      </c>
    </row>
    <row r="4" spans="1:21" customForma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21" customFormat="1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21" customFormat="1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21" customFormat="1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21" customFormat="1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21" customForma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</row>
    <row r="10" spans="1:21" customForma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21" customFormat="1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</row>
    <row r="12" spans="1:21" customFormat="1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</row>
    <row r="13" spans="1:21" customFormat="1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</row>
    <row r="14" spans="1:21" customFormat="1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5" spans="1:21" customFormat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1:21" customFormat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</row>
    <row r="17" spans="1:12" customForma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1:12" customFormat="1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</row>
    <row r="19" spans="1:12" customFormat="1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0" spans="1:12" customFormat="1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</row>
    <row r="21" spans="1:12" customFormat="1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</row>
    <row r="22" spans="1:12" customForma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</row>
    <row r="23" spans="1:12" customFormat="1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</row>
    <row r="24" spans="1:12" customForma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</row>
    <row r="25" spans="1:12" customForma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</row>
    <row r="26" spans="1:12" customFormat="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BO26"/>
  <sheetViews>
    <sheetView workbookViewId="0">
      <selection activeCell="A2" sqref="A2"/>
    </sheetView>
  </sheetViews>
  <sheetFormatPr defaultColWidth="9" defaultRowHeight="13.5"/>
  <cols>
    <col min="1" max="1" width="10.625" style="114" customWidth="1"/>
    <col min="2" max="2" width="15" style="114" customWidth="1"/>
    <col min="3" max="3" width="6.75" style="114" customWidth="1"/>
    <col min="4" max="4" width="29.625" style="114" customWidth="1"/>
    <col min="5" max="5" width="31.375" style="114" customWidth="1"/>
    <col min="6" max="6" width="10.625" style="114" customWidth="1"/>
    <col min="7" max="8" width="6.75" style="114" customWidth="1"/>
    <col min="9" max="9" width="6.375" style="114" customWidth="1"/>
    <col min="10" max="10" width="14" style="114" customWidth="1"/>
    <col min="11" max="11" width="13.625" style="114" customWidth="1"/>
    <col min="12" max="12" width="12.75" style="114" customWidth="1"/>
    <col min="13" max="13" width="16.5" style="114" customWidth="1"/>
    <col min="14" max="14" width="17" style="114" customWidth="1"/>
    <col min="15" max="15" width="15.125" style="114" customWidth="1"/>
    <col min="16" max="16" width="17.125" style="114" customWidth="1"/>
    <col min="17" max="17" width="10.625" style="114" customWidth="1"/>
    <col min="18" max="18" width="9" style="114"/>
    <col min="19" max="19" width="12.125" style="114" customWidth="1"/>
    <col min="20" max="20" width="9" style="114"/>
    <col min="21" max="37" width="12.125" style="114" customWidth="1"/>
    <col min="38" max="38" width="9" style="1"/>
    <col min="39" max="39" width="12.125" style="110" customWidth="1"/>
    <col min="40" max="40" width="15.5" style="110" customWidth="1"/>
    <col min="41" max="41" width="16" style="110" customWidth="1"/>
    <col min="42" max="43" width="10.625" style="110" customWidth="1"/>
    <col min="44" max="44" width="6.75" style="110" customWidth="1"/>
    <col min="45" max="45" width="6.375" style="110" customWidth="1"/>
    <col min="46" max="46" width="6.75" style="110" customWidth="1"/>
    <col min="47" max="47" width="8" style="110" customWidth="1"/>
    <col min="48" max="48" width="11.125" style="110" customWidth="1"/>
    <col min="49" max="49" width="9" style="1"/>
    <col min="50" max="50" width="10.625" style="107" customWidth="1"/>
    <col min="51" max="51" width="9" style="107"/>
    <col min="52" max="52" width="31.625" style="107" customWidth="1"/>
    <col min="53" max="54" width="17.125" style="107" customWidth="1"/>
    <col min="55" max="55" width="9" style="107"/>
    <col min="56" max="56" width="11" style="107" bestFit="1" customWidth="1"/>
    <col min="57" max="60" width="14.5" style="107" customWidth="1"/>
    <col min="61" max="61" width="17.625" style="107" customWidth="1"/>
    <col min="62" max="62" width="9" style="1"/>
    <col min="63" max="63" width="19.125" style="1" customWidth="1"/>
    <col min="64" max="64" width="2.5" style="1" bestFit="1" customWidth="1"/>
    <col min="65" max="65" width="3.5" style="1" bestFit="1" customWidth="1"/>
    <col min="66" max="66" width="2.5" style="1" bestFit="1" customWidth="1"/>
    <col min="67" max="67" width="5.125" style="1" bestFit="1" customWidth="1"/>
    <col min="68" max="16384" width="9" style="1"/>
  </cols>
  <sheetData>
    <row r="1" spans="1:67" ht="15" customHeight="1">
      <c r="A1" s="111" t="s">
        <v>76</v>
      </c>
      <c r="B1" s="111" t="s">
        <v>77</v>
      </c>
      <c r="C1" s="111" t="s">
        <v>78</v>
      </c>
      <c r="D1" s="111" t="s">
        <v>79</v>
      </c>
      <c r="E1" s="111" t="s">
        <v>80</v>
      </c>
      <c r="F1" s="111" t="s">
        <v>81</v>
      </c>
      <c r="G1" s="111" t="s">
        <v>82</v>
      </c>
      <c r="H1" s="111" t="s">
        <v>83</v>
      </c>
      <c r="I1" s="111" t="s">
        <v>84</v>
      </c>
      <c r="J1" s="111" t="s">
        <v>85</v>
      </c>
      <c r="K1" s="111" t="s">
        <v>86</v>
      </c>
      <c r="L1" s="111" t="s">
        <v>87</v>
      </c>
      <c r="M1" s="111" t="s">
        <v>88</v>
      </c>
      <c r="N1" s="111" t="s">
        <v>89</v>
      </c>
      <c r="O1" s="111" t="s">
        <v>90</v>
      </c>
      <c r="P1" s="111" t="s">
        <v>91</v>
      </c>
      <c r="Q1" s="111" t="s">
        <v>92</v>
      </c>
      <c r="R1" s="111" t="s">
        <v>93</v>
      </c>
      <c r="S1" s="111" t="s">
        <v>94</v>
      </c>
      <c r="T1" s="111" t="s">
        <v>95</v>
      </c>
      <c r="U1" s="111" t="s">
        <v>96</v>
      </c>
      <c r="V1" s="111" t="s">
        <v>475</v>
      </c>
      <c r="W1" s="111" t="s">
        <v>476</v>
      </c>
      <c r="X1" s="111" t="s">
        <v>477</v>
      </c>
      <c r="Y1" s="111" t="s">
        <v>478</v>
      </c>
      <c r="Z1" s="111" t="s">
        <v>479</v>
      </c>
      <c r="AA1" s="111" t="s">
        <v>480</v>
      </c>
      <c r="AB1" s="111" t="s">
        <v>481</v>
      </c>
      <c r="AC1" s="111" t="s">
        <v>482</v>
      </c>
      <c r="AD1" s="111" t="s">
        <v>483</v>
      </c>
      <c r="AE1" s="111" t="s">
        <v>484</v>
      </c>
      <c r="AF1" s="111" t="s">
        <v>485</v>
      </c>
      <c r="AG1" s="111" t="s">
        <v>486</v>
      </c>
      <c r="AH1" s="111" t="s">
        <v>487</v>
      </c>
      <c r="AI1" s="111" t="s">
        <v>488</v>
      </c>
      <c r="AJ1" s="111" t="s">
        <v>489</v>
      </c>
      <c r="AK1" s="111" t="s">
        <v>490</v>
      </c>
      <c r="AM1" s="108" t="s">
        <v>98</v>
      </c>
      <c r="AN1" s="108" t="s">
        <v>99</v>
      </c>
      <c r="AO1" s="108" t="s">
        <v>100</v>
      </c>
      <c r="AP1" s="108" t="s">
        <v>101</v>
      </c>
      <c r="AQ1" s="108" t="s">
        <v>102</v>
      </c>
      <c r="AR1" s="108" t="s">
        <v>82</v>
      </c>
      <c r="AS1" s="108" t="s">
        <v>84</v>
      </c>
      <c r="AT1" s="108" t="s">
        <v>78</v>
      </c>
      <c r="AU1" s="108" t="s">
        <v>103</v>
      </c>
      <c r="AV1" s="108" t="s">
        <v>104</v>
      </c>
    </row>
    <row r="2" spans="1:67" s="194" customFormat="1">
      <c r="A2" s="191">
        <v>1</v>
      </c>
      <c r="B2" s="191"/>
      <c r="C2" s="191" t="str">
        <f>IF(②個人種目申込!A8="","",ASC(IF(②個人種目申込!A8="男子",1,2)))</f>
        <v/>
      </c>
      <c r="D2" s="191" t="str">
        <f>IF(②個人種目申込!B8="","",②個人種目申込!B8)</f>
        <v/>
      </c>
      <c r="E2" s="191" t="str">
        <f>ASC(②個人種目申込!C8)</f>
        <v/>
      </c>
      <c r="F2" s="191" t="str">
        <f>IF(②個人種目申込!D8="","",ASC(②個人種目申込!D8)&amp;ASC(IF(LEN(②個人種目申込!E8)=1,"0"&amp;②個人種目申込!E8,②個人種目申込!E8))&amp;ASC(IF(LEN(②個人種目申込!F8)=1,"0"&amp;②個人種目申込!F8,②個人種目申込!F8)))</f>
        <v/>
      </c>
      <c r="G2" s="191" t="str">
        <f>IF(C2="","",2)</f>
        <v/>
      </c>
      <c r="H2" s="191" t="str">
        <f>ASC(②個人種目申込!G8)</f>
        <v/>
      </c>
      <c r="I2" s="191"/>
      <c r="J2" s="191"/>
      <c r="K2" s="191" t="str">
        <f>②個人種目申込!H8</f>
        <v/>
      </c>
      <c r="L2" s="192" t="str">
        <f>IF(K2="","",①基本データ入力!$D$12)</f>
        <v/>
      </c>
      <c r="M2" s="192"/>
      <c r="N2" s="192"/>
      <c r="O2" s="192"/>
      <c r="P2" s="192"/>
      <c r="Q2" s="193" t="s">
        <v>313</v>
      </c>
      <c r="R2" s="191" t="str">
        <f>ASC(IF(②個人種目申込!J8="自由形",10,IF(②個人種目申込!J8="背泳ぎ",20,IF(②個人種目申込!J8="平泳ぎ",30,IF(②個人種目申込!J8="バタフライ",40,IF(②個人種目申込!J8="個人メドレー",50,"")))))&amp;IF(②個人種目申込!I8=50,"050",②個人種目申込!I8))</f>
        <v/>
      </c>
      <c r="S2" s="191" t="str">
        <f>IF(R2="","",ASC(IF(LEN(②個人種目申込!K8)=1,"0"&amp;②個人種目申込!K8,②個人種目申込!K8))&amp;ASC(IF(LEN(②個人種目申込!L8)=1,"0"&amp;②個人種目申込!L8,②個人種目申込!L8))&amp;"."&amp;ASC(IF(LEN(②個人種目申込!M8)=1,"0"&amp;②個人種目申込!M8,②個人種目申込!M8)))</f>
        <v/>
      </c>
      <c r="T2" s="191" t="str">
        <f>ASC(IF(②個人種目申込!O8="自由形",10,IF(②個人種目申込!O8="背泳ぎ",20,IF(②個人種目申込!O8="平泳ぎ",30,IF(②個人種目申込!O8="バタフライ",40,IF(②個人種目申込!O8="個人メドレー",50,"")))))&amp;IF(②個人種目申込!N8="50","050",②個人種目申込!N8))</f>
        <v/>
      </c>
      <c r="U2" s="191" t="str">
        <f>IF(T2="","",ASC(IF(LEN(②個人種目申込!P8)=1,"0"&amp;②個人種目申込!P8,②個人種目申込!P8))&amp;ASC(IF(LEN(②個人種目申込!Q8)=1,"0"&amp;②個人種目申込!Q8,②個人種目申込!Q8))&amp;"."&amp;ASC(IF(LEN(②個人種目申込!R8)=1,"0"&amp;②個人種目申込!R8,②個人種目申込!R8)))</f>
        <v/>
      </c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M2" s="195"/>
      <c r="AN2" s="195" t="str">
        <f>③リレー申込!B13</f>
        <v/>
      </c>
      <c r="AO2" s="195" t="str">
        <f>IF(AN2="","",①基本データ入力!$D$12)</f>
        <v/>
      </c>
      <c r="AP2" s="195"/>
      <c r="AQ2" s="195"/>
      <c r="AR2" s="195"/>
      <c r="AS2" s="195"/>
      <c r="AT2" s="195" t="str">
        <f>IF(AN2="","",ASC(IF(③リレー申込!D13="","",IF(③リレー申込!D13="男子",1,2))))</f>
        <v/>
      </c>
      <c r="AU2" s="195" t="str">
        <f>IF(AN2="","",ASC(IF(③リレー申込!C13="ﾌﾘｰﾘﾚｰ",60,IF(③リレー申込!C13="ﾒﾄﾞﾚｰﾘﾚｰ",70,""))&amp;400))</f>
        <v/>
      </c>
      <c r="AV2" s="195" t="str">
        <f>IF(AN2="","",ASC(IF(LEN(③リレー申込!F13)=1,"0"&amp;③リレー申込!F13,③リレー申込!F13))&amp;ASC(IF(LEN(③リレー申込!G13)=1,"0"&amp;③リレー申込!G13,③リレー申込!G13))&amp;"."&amp;ASC(IF(LEN(③リレー申込!H13)=1,"0"&amp;③リレー申込!H13,③リレー申込!H13)))</f>
        <v/>
      </c>
      <c r="AX2" s="196">
        <f>①基本データ入力!D13</f>
        <v>0</v>
      </c>
      <c r="AY2" s="196" t="str">
        <f>①基本データ入力!N11</f>
        <v/>
      </c>
      <c r="AZ2" s="196" t="str">
        <f>①基本データ入力!N12</f>
        <v/>
      </c>
      <c r="BA2" s="196" t="str">
        <f>①基本データ入力!N13</f>
        <v/>
      </c>
      <c r="BB2" s="196"/>
      <c r="BC2" s="196">
        <f>①基本データ入力!D16</f>
        <v>0</v>
      </c>
      <c r="BD2" s="196">
        <f>①基本データ入力!D18</f>
        <v>0</v>
      </c>
      <c r="BE2" s="196">
        <f>①基本データ入力!D21</f>
        <v>0</v>
      </c>
      <c r="BF2" s="196">
        <f>①基本データ入力!L21</f>
        <v>0</v>
      </c>
      <c r="BG2" s="196">
        <f>①基本データ入力!D23</f>
        <v>0</v>
      </c>
      <c r="BH2" s="196">
        <f>①基本データ入力!L23</f>
        <v>0</v>
      </c>
      <c r="BI2" s="196">
        <f>①基本データ入力!Q21</f>
        <v>0</v>
      </c>
      <c r="BJ2" s="197"/>
      <c r="BK2" s="198">
        <f>①基本データ入力!D21</f>
        <v>0</v>
      </c>
      <c r="BL2" s="199" t="s">
        <v>278</v>
      </c>
      <c r="BM2" s="200">
        <f>①基本データ入力!H21</f>
        <v>0</v>
      </c>
      <c r="BN2" s="201" t="s">
        <v>279</v>
      </c>
      <c r="BO2" s="202">
        <f>①基本データ入力!J21</f>
        <v>0</v>
      </c>
    </row>
    <row r="3" spans="1:67" s="194" customFormat="1">
      <c r="A3" s="191">
        <v>2</v>
      </c>
      <c r="B3" s="191"/>
      <c r="C3" s="191" t="str">
        <f>IF(②個人種目申込!A9="","",ASC(IF(②個人種目申込!A9="男子",1,2)))</f>
        <v/>
      </c>
      <c r="D3" s="191" t="str">
        <f>IF(②個人種目申込!B9="","",②個人種目申込!B9)</f>
        <v/>
      </c>
      <c r="E3" s="191" t="str">
        <f>ASC(②個人種目申込!C9)</f>
        <v/>
      </c>
      <c r="F3" s="191" t="str">
        <f>IF(②個人種目申込!D9="","",ASC(②個人種目申込!D9)&amp;ASC(IF(LEN(②個人種目申込!E9)=1,"0"&amp;②個人種目申込!E9,②個人種目申込!E9))&amp;ASC(IF(LEN(②個人種目申込!F9)=1,"0"&amp;②個人種目申込!F9,②個人種目申込!F9)))</f>
        <v/>
      </c>
      <c r="G3" s="191" t="str">
        <f t="shared" ref="G3:G26" si="0">IF(C3="","",2)</f>
        <v/>
      </c>
      <c r="H3" s="191" t="str">
        <f>ASC(②個人種目申込!G9)</f>
        <v/>
      </c>
      <c r="I3" s="191"/>
      <c r="J3" s="191"/>
      <c r="K3" s="191" t="str">
        <f>②個人種目申込!H9</f>
        <v/>
      </c>
      <c r="L3" s="192" t="str">
        <f>IF(K3="","",①基本データ入力!$D$12)</f>
        <v/>
      </c>
      <c r="M3" s="192"/>
      <c r="N3" s="192"/>
      <c r="O3" s="192"/>
      <c r="P3" s="192"/>
      <c r="Q3" s="193" t="s">
        <v>313</v>
      </c>
      <c r="R3" s="191" t="str">
        <f>ASC(IF(②個人種目申込!J9="自由形",10,IF(②個人種目申込!J9="背泳ぎ",20,IF(②個人種目申込!J9="平泳ぎ",30,IF(②個人種目申込!J9="バタフライ",40,IF(②個人種目申込!J9="個人メドレー",50,"")))))&amp;IF(②個人種目申込!I9=50,"050",②個人種目申込!I9))</f>
        <v/>
      </c>
      <c r="S3" s="191" t="str">
        <f>IF(R3="","",ASC(IF(LEN(②個人種目申込!K9)=1,"0"&amp;②個人種目申込!K9,②個人種目申込!K9))&amp;ASC(IF(LEN(②個人種目申込!L9)=1,"0"&amp;②個人種目申込!L9,②個人種目申込!L9))&amp;"."&amp;ASC(IF(LEN(②個人種目申込!M9)=1,"0"&amp;②個人種目申込!M9,②個人種目申込!M9)))</f>
        <v/>
      </c>
      <c r="T3" s="191" t="str">
        <f>ASC(IF(②個人種目申込!O9="自由形",10,IF(②個人種目申込!O9="背泳ぎ",20,IF(②個人種目申込!O9="平泳ぎ",30,IF(②個人種目申込!O9="バタフライ",40,IF(②個人種目申込!O9="個人メドレー",50,"")))))&amp;IF(②個人種目申込!N9="50","050",②個人種目申込!N9))</f>
        <v/>
      </c>
      <c r="U3" s="191" t="str">
        <f>IF(T3="","",ASC(IF(LEN(②個人種目申込!P9)=1,"0"&amp;②個人種目申込!P9,②個人種目申込!P9))&amp;ASC(IF(LEN(②個人種目申込!Q9)=1,"0"&amp;②個人種目申込!Q9,②個人種目申込!Q9))&amp;"."&amp;ASC(IF(LEN(②個人種目申込!R9)=1,"0"&amp;②個人種目申込!R9,②個人種目申込!R9)))</f>
        <v/>
      </c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M3" s="195"/>
      <c r="AN3" s="195" t="str">
        <f>③リレー申込!B14</f>
        <v/>
      </c>
      <c r="AO3" s="195" t="str">
        <f>IF(AN3="","",ASC(PHONETIC(①基本データ入力!$D$12)))</f>
        <v/>
      </c>
      <c r="AP3" s="195"/>
      <c r="AQ3" s="195"/>
      <c r="AR3" s="195"/>
      <c r="AS3" s="195"/>
      <c r="AT3" s="195" t="str">
        <f>IF(AN3="","",ASC(IF(③リレー申込!D14="","",IF(③リレー申込!D14="男子",1,2))))</f>
        <v/>
      </c>
      <c r="AU3" s="195" t="str">
        <f>IF(AN3="","",ASC(IF(③リレー申込!C14="ﾌﾘｰﾘﾚｰ",60,IF(③リレー申込!C14="ﾒﾄﾞﾚｰﾘﾚｰ",70,""))&amp;400))</f>
        <v/>
      </c>
      <c r="AV3" s="195" t="str">
        <f>IF(AN3="","",ASC(IF(LEN(③リレー申込!F14)=1,"0"&amp;③リレー申込!F14,③リレー申込!F14))&amp;ASC(IF(LEN(③リレー申込!G14)=1,"0"&amp;③リレー申込!G14,③リレー申込!G14))&amp;"."&amp;ASC(IF(LEN(③リレー申込!H14)=1,"0"&amp;③リレー申込!H14,③リレー申込!H14)))</f>
        <v/>
      </c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K3" s="198">
        <f>①基本データ入力!D23</f>
        <v>0</v>
      </c>
      <c r="BL3" s="199" t="s">
        <v>278</v>
      </c>
      <c r="BM3" s="200">
        <f>①基本データ入力!H23</f>
        <v>0</v>
      </c>
      <c r="BN3" s="201" t="s">
        <v>279</v>
      </c>
      <c r="BO3" s="202">
        <f>①基本データ入力!J23</f>
        <v>0</v>
      </c>
    </row>
    <row r="4" spans="1:67" s="194" customFormat="1">
      <c r="A4" s="191">
        <v>3</v>
      </c>
      <c r="B4" s="191"/>
      <c r="C4" s="191" t="str">
        <f>IF(②個人種目申込!A10="","",ASC(IF(②個人種目申込!A10="男子",1,2)))</f>
        <v/>
      </c>
      <c r="D4" s="191" t="str">
        <f>IF(②個人種目申込!B10="","",②個人種目申込!B10)</f>
        <v/>
      </c>
      <c r="E4" s="191" t="str">
        <f>ASC(②個人種目申込!C10)</f>
        <v/>
      </c>
      <c r="F4" s="191" t="str">
        <f>IF(②個人種目申込!D10="","",ASC(②個人種目申込!D10)&amp;ASC(IF(LEN(②個人種目申込!E10)=1,"0"&amp;②個人種目申込!E10,②個人種目申込!E10))&amp;ASC(IF(LEN(②個人種目申込!F10)=1,"0"&amp;②個人種目申込!F10,②個人種目申込!F10)))</f>
        <v/>
      </c>
      <c r="G4" s="191" t="str">
        <f t="shared" si="0"/>
        <v/>
      </c>
      <c r="H4" s="191" t="str">
        <f>ASC(②個人種目申込!G10)</f>
        <v/>
      </c>
      <c r="I4" s="191"/>
      <c r="J4" s="191"/>
      <c r="K4" s="191" t="str">
        <f>②個人種目申込!H10</f>
        <v/>
      </c>
      <c r="L4" s="192" t="str">
        <f>IF(K4="","",①基本データ入力!$D$12)</f>
        <v/>
      </c>
      <c r="M4" s="192"/>
      <c r="N4" s="192"/>
      <c r="O4" s="192"/>
      <c r="P4" s="192"/>
      <c r="Q4" s="193" t="s">
        <v>313</v>
      </c>
      <c r="R4" s="191" t="str">
        <f>ASC(IF(②個人種目申込!J10="自由形",10,IF(②個人種目申込!J10="背泳ぎ",20,IF(②個人種目申込!J10="平泳ぎ",30,IF(②個人種目申込!J10="バタフライ",40,IF(②個人種目申込!J10="個人メドレー",50,"")))))&amp;IF(②個人種目申込!I10=50,"050",②個人種目申込!I10))</f>
        <v/>
      </c>
      <c r="S4" s="191" t="str">
        <f>IF(R4="","",ASC(IF(LEN(②個人種目申込!K10)=1,"0"&amp;②個人種目申込!K10,②個人種目申込!K10))&amp;ASC(IF(LEN(②個人種目申込!L10)=1,"0"&amp;②個人種目申込!L10,②個人種目申込!L10))&amp;"."&amp;ASC(IF(LEN(②個人種目申込!M10)=1,"0"&amp;②個人種目申込!M10,②個人種目申込!M10)))</f>
        <v/>
      </c>
      <c r="T4" s="191" t="str">
        <f>ASC(IF(②個人種目申込!O10="自由形",10,IF(②個人種目申込!O10="背泳ぎ",20,IF(②個人種目申込!O10="平泳ぎ",30,IF(②個人種目申込!O10="バタフライ",40,IF(②個人種目申込!O10="個人メドレー",50,"")))))&amp;IF(②個人種目申込!N10="50","050",②個人種目申込!N10))</f>
        <v/>
      </c>
      <c r="U4" s="191" t="str">
        <f>IF(T4="","",ASC(IF(LEN(②個人種目申込!P10)=1,"0"&amp;②個人種目申込!P10,②個人種目申込!P10))&amp;ASC(IF(LEN(②個人種目申込!Q10)=1,"0"&amp;②個人種目申込!Q10,②個人種目申込!Q10))&amp;"."&amp;ASC(IF(LEN(②個人種目申込!R10)=1,"0"&amp;②個人種目申込!R10,②個人種目申込!R10)))</f>
        <v/>
      </c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M4" s="195"/>
      <c r="AN4" s="195" t="str">
        <f>③リレー申込!B15</f>
        <v/>
      </c>
      <c r="AO4" s="195" t="str">
        <f>IF(AN4="","",ASC(PHONETIC(①基本データ入力!$D$12)))</f>
        <v/>
      </c>
      <c r="AP4" s="195"/>
      <c r="AQ4" s="195"/>
      <c r="AR4" s="195"/>
      <c r="AS4" s="195"/>
      <c r="AT4" s="195" t="str">
        <f>IF(AN4="","",ASC(IF(③リレー申込!D15="","",IF(③リレー申込!D15="男子",1,2))))</f>
        <v/>
      </c>
      <c r="AU4" s="195" t="str">
        <f>IF(AN4="","",ASC(IF(③リレー申込!C15="ﾌﾘｰﾘﾚｰ",60,IF(③リレー申込!C15="ﾒﾄﾞﾚｰﾘﾚｰ",70,""))&amp;400))</f>
        <v/>
      </c>
      <c r="AV4" s="195" t="str">
        <f>IF(AN4="","",ASC(IF(LEN(③リレー申込!F15)=1,"0"&amp;③リレー申込!F15,③リレー申込!F15))&amp;ASC(IF(LEN(③リレー申込!G15)=1,"0"&amp;③リレー申込!G15,③リレー申込!G15))&amp;"."&amp;ASC(IF(LEN(③リレー申込!H15)=1,"0"&amp;③リレー申込!H15,③リレー申込!H15)))</f>
        <v/>
      </c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</row>
    <row r="5" spans="1:67" s="194" customFormat="1">
      <c r="A5" s="191">
        <v>4</v>
      </c>
      <c r="B5" s="191"/>
      <c r="C5" s="191" t="str">
        <f>IF(②個人種目申込!A11="","",ASC(IF(②個人種目申込!A11="男子",1,2)))</f>
        <v/>
      </c>
      <c r="D5" s="191" t="str">
        <f>IF(②個人種目申込!B11="","",②個人種目申込!B11)</f>
        <v/>
      </c>
      <c r="E5" s="191" t="str">
        <f>ASC(②個人種目申込!C11)</f>
        <v/>
      </c>
      <c r="F5" s="191" t="str">
        <f>IF(②個人種目申込!D11="","",ASC(②個人種目申込!D11)&amp;ASC(IF(LEN(②個人種目申込!E11)=1,"0"&amp;②個人種目申込!E11,②個人種目申込!E11))&amp;ASC(IF(LEN(②個人種目申込!F11)=1,"0"&amp;②個人種目申込!F11,②個人種目申込!F11)))</f>
        <v/>
      </c>
      <c r="G5" s="191" t="str">
        <f t="shared" si="0"/>
        <v/>
      </c>
      <c r="H5" s="191" t="str">
        <f>ASC(②個人種目申込!G11)</f>
        <v/>
      </c>
      <c r="I5" s="191"/>
      <c r="J5" s="191"/>
      <c r="K5" s="191" t="str">
        <f>②個人種目申込!H11</f>
        <v/>
      </c>
      <c r="L5" s="192" t="str">
        <f>IF(K5="","",①基本データ入力!$D$12)</f>
        <v/>
      </c>
      <c r="M5" s="192"/>
      <c r="N5" s="192"/>
      <c r="O5" s="192"/>
      <c r="P5" s="192"/>
      <c r="Q5" s="193" t="s">
        <v>313</v>
      </c>
      <c r="R5" s="191" t="str">
        <f>ASC(IF(②個人種目申込!J11="自由形",10,IF(②個人種目申込!J11="背泳ぎ",20,IF(②個人種目申込!J11="平泳ぎ",30,IF(②個人種目申込!J11="バタフライ",40,IF(②個人種目申込!J11="個人メドレー",50,"")))))&amp;IF(②個人種目申込!I11=50,"050",②個人種目申込!I11))</f>
        <v/>
      </c>
      <c r="S5" s="191" t="str">
        <f>IF(R5="","",ASC(IF(LEN(②個人種目申込!K11)=1,"0"&amp;②個人種目申込!K11,②個人種目申込!K11))&amp;ASC(IF(LEN(②個人種目申込!L11)=1,"0"&amp;②個人種目申込!L11,②個人種目申込!L11))&amp;"."&amp;ASC(IF(LEN(②個人種目申込!M11)=1,"0"&amp;②個人種目申込!M11,②個人種目申込!M11)))</f>
        <v/>
      </c>
      <c r="T5" s="191" t="str">
        <f>ASC(IF(②個人種目申込!O11="自由形",10,IF(②個人種目申込!O11="背泳ぎ",20,IF(②個人種目申込!O11="平泳ぎ",30,IF(②個人種目申込!O11="バタフライ",40,IF(②個人種目申込!O11="個人メドレー",50,"")))))&amp;IF(②個人種目申込!N11="50","050",②個人種目申込!N11))</f>
        <v/>
      </c>
      <c r="U5" s="191" t="str">
        <f>IF(T5="","",ASC(IF(LEN(②個人種目申込!P11)=1,"0"&amp;②個人種目申込!P11,②個人種目申込!P11))&amp;ASC(IF(LEN(②個人種目申込!Q11)=1,"0"&amp;②個人種目申込!Q11,②個人種目申込!Q11))&amp;"."&amp;ASC(IF(LEN(②個人種目申込!R11)=1,"0"&amp;②個人種目申込!R11,②個人種目申込!R11)))</f>
        <v/>
      </c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M5" s="195"/>
      <c r="AN5" s="195" t="str">
        <f>③リレー申込!B16</f>
        <v/>
      </c>
      <c r="AO5" s="195" t="str">
        <f>IF(AN5="","",ASC(PHONETIC(①基本データ入力!$D$12)))</f>
        <v/>
      </c>
      <c r="AP5" s="195"/>
      <c r="AQ5" s="195"/>
      <c r="AR5" s="195"/>
      <c r="AS5" s="195"/>
      <c r="AT5" s="195" t="str">
        <f>IF(AN5="","",ASC(IF(③リレー申込!D16="","",IF(③リレー申込!D16="男子",1,2))))</f>
        <v/>
      </c>
      <c r="AU5" s="195" t="str">
        <f>IF(AN5="","",ASC(IF(③リレー申込!C16="ﾌﾘｰﾘﾚｰ",60,IF(③リレー申込!C16="ﾒﾄﾞﾚｰﾘﾚｰ",70,""))&amp;400))</f>
        <v/>
      </c>
      <c r="AV5" s="195" t="str">
        <f>IF(AN5="","",ASC(IF(LEN(③リレー申込!F16)=1,"0"&amp;③リレー申込!F16,③リレー申込!F16))&amp;ASC(IF(LEN(③リレー申込!G16)=1,"0"&amp;③リレー申込!G16,③リレー申込!G16))&amp;"."&amp;ASC(IF(LEN(③リレー申込!H16)=1,"0"&amp;③リレー申込!H16,③リレー申込!H16)))</f>
        <v/>
      </c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</row>
    <row r="6" spans="1:67" s="194" customFormat="1">
      <c r="A6" s="191">
        <v>5</v>
      </c>
      <c r="B6" s="191"/>
      <c r="C6" s="191" t="str">
        <f>IF(②個人種目申込!A12="","",ASC(IF(②個人種目申込!A12="男子",1,2)))</f>
        <v/>
      </c>
      <c r="D6" s="191" t="str">
        <f>IF(②個人種目申込!B12="","",②個人種目申込!B12)</f>
        <v/>
      </c>
      <c r="E6" s="191" t="str">
        <f>ASC(②個人種目申込!C12)</f>
        <v/>
      </c>
      <c r="F6" s="191" t="str">
        <f>IF(②個人種目申込!D12="","",ASC(②個人種目申込!D12)&amp;ASC(IF(LEN(②個人種目申込!E12)=1,"0"&amp;②個人種目申込!E12,②個人種目申込!E12))&amp;ASC(IF(LEN(②個人種目申込!F12)=1,"0"&amp;②個人種目申込!F12,②個人種目申込!F12)))</f>
        <v/>
      </c>
      <c r="G6" s="191" t="str">
        <f t="shared" si="0"/>
        <v/>
      </c>
      <c r="H6" s="191" t="str">
        <f>ASC(②個人種目申込!G12)</f>
        <v/>
      </c>
      <c r="I6" s="191"/>
      <c r="J6" s="191"/>
      <c r="K6" s="191" t="str">
        <f>②個人種目申込!H12</f>
        <v/>
      </c>
      <c r="L6" s="192" t="str">
        <f>IF(K6="","",①基本データ入力!$D$12)</f>
        <v/>
      </c>
      <c r="M6" s="192"/>
      <c r="N6" s="192"/>
      <c r="O6" s="192"/>
      <c r="P6" s="192"/>
      <c r="Q6" s="193" t="s">
        <v>313</v>
      </c>
      <c r="R6" s="191" t="str">
        <f>ASC(IF(②個人種目申込!J12="自由形",10,IF(②個人種目申込!J12="背泳ぎ",20,IF(②個人種目申込!J12="平泳ぎ",30,IF(②個人種目申込!J12="バタフライ",40,IF(②個人種目申込!J12="個人メドレー",50,"")))))&amp;IF(②個人種目申込!I12=50,"050",②個人種目申込!I12))</f>
        <v/>
      </c>
      <c r="S6" s="191" t="str">
        <f>IF(R6="","",ASC(IF(LEN(②個人種目申込!K12)=1,"0"&amp;②個人種目申込!K12,②個人種目申込!K12))&amp;ASC(IF(LEN(②個人種目申込!L12)=1,"0"&amp;②個人種目申込!L12,②個人種目申込!L12))&amp;"."&amp;ASC(IF(LEN(②個人種目申込!M12)=1,"0"&amp;②個人種目申込!M12,②個人種目申込!M12)))</f>
        <v/>
      </c>
      <c r="T6" s="191" t="str">
        <f>ASC(IF(②個人種目申込!O12="自由形",10,IF(②個人種目申込!O12="背泳ぎ",20,IF(②個人種目申込!O12="平泳ぎ",30,IF(②個人種目申込!O12="バタフライ",40,IF(②個人種目申込!O12="個人メドレー",50,"")))))&amp;IF(②個人種目申込!N12="50","050",②個人種目申込!N12))</f>
        <v/>
      </c>
      <c r="U6" s="191" t="str">
        <f>IF(T6="","",ASC(IF(LEN(②個人種目申込!P12)=1,"0"&amp;②個人種目申込!P12,②個人種目申込!P12))&amp;ASC(IF(LEN(②個人種目申込!Q12)=1,"0"&amp;②個人種目申込!Q12,②個人種目申込!Q12))&amp;"."&amp;ASC(IF(LEN(②個人種目申込!R12)=1,"0"&amp;②個人種目申込!R12,②個人種目申込!R12)))</f>
        <v/>
      </c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</row>
    <row r="7" spans="1:67" s="194" customFormat="1">
      <c r="A7" s="191">
        <v>6</v>
      </c>
      <c r="B7" s="191"/>
      <c r="C7" s="191" t="str">
        <f>IF(②個人種目申込!A13="","",ASC(IF(②個人種目申込!A13="男子",1,2)))</f>
        <v/>
      </c>
      <c r="D7" s="191" t="str">
        <f>IF(②個人種目申込!B13="","",②個人種目申込!B13)</f>
        <v/>
      </c>
      <c r="E7" s="191" t="str">
        <f>ASC(②個人種目申込!C13)</f>
        <v/>
      </c>
      <c r="F7" s="191" t="str">
        <f>IF(②個人種目申込!D13="","",ASC(②個人種目申込!D13)&amp;ASC(IF(LEN(②個人種目申込!E13)=1,"0"&amp;②個人種目申込!E13,②個人種目申込!E13))&amp;ASC(IF(LEN(②個人種目申込!F13)=1,"0"&amp;②個人種目申込!F13,②個人種目申込!F13)))</f>
        <v/>
      </c>
      <c r="G7" s="191" t="str">
        <f t="shared" si="0"/>
        <v/>
      </c>
      <c r="H7" s="191" t="str">
        <f>ASC(②個人種目申込!G13)</f>
        <v/>
      </c>
      <c r="I7" s="191"/>
      <c r="J7" s="191"/>
      <c r="K7" s="191" t="str">
        <f>②個人種目申込!H13</f>
        <v/>
      </c>
      <c r="L7" s="192" t="str">
        <f>IF(K7="","",①基本データ入力!$D$12)</f>
        <v/>
      </c>
      <c r="M7" s="192"/>
      <c r="N7" s="192"/>
      <c r="O7" s="192"/>
      <c r="P7" s="192"/>
      <c r="Q7" s="193" t="s">
        <v>313</v>
      </c>
      <c r="R7" s="191" t="str">
        <f>ASC(IF(②個人種目申込!J13="自由形",10,IF(②個人種目申込!J13="背泳ぎ",20,IF(②個人種目申込!J13="平泳ぎ",30,IF(②個人種目申込!J13="バタフライ",40,IF(②個人種目申込!J13="個人メドレー",50,"")))))&amp;IF(②個人種目申込!I13=50,"050",②個人種目申込!I13))</f>
        <v/>
      </c>
      <c r="S7" s="191" t="str">
        <f>IF(R7="","",ASC(IF(LEN(②個人種目申込!K13)=1,"0"&amp;②個人種目申込!K13,②個人種目申込!K13))&amp;ASC(IF(LEN(②個人種目申込!L13)=1,"0"&amp;②個人種目申込!L13,②個人種目申込!L13))&amp;"."&amp;ASC(IF(LEN(②個人種目申込!M13)=1,"0"&amp;②個人種目申込!M13,②個人種目申込!M13)))</f>
        <v/>
      </c>
      <c r="T7" s="191" t="str">
        <f>ASC(IF(②個人種目申込!O13="自由形",10,IF(②個人種目申込!O13="背泳ぎ",20,IF(②個人種目申込!O13="平泳ぎ",30,IF(②個人種目申込!O13="バタフライ",40,IF(②個人種目申込!O13="個人メドレー",50,"")))))&amp;IF(②個人種目申込!N13="50","050",②個人種目申込!N13))</f>
        <v/>
      </c>
      <c r="U7" s="191" t="str">
        <f>IF(T7="","",ASC(IF(LEN(②個人種目申込!P13)=1,"0"&amp;②個人種目申込!P13,②個人種目申込!P13))&amp;ASC(IF(LEN(②個人種目申込!Q13)=1,"0"&amp;②個人種目申込!Q13,②個人種目申込!Q13))&amp;"."&amp;ASC(IF(LEN(②個人種目申込!R13)=1,"0"&amp;②個人種目申込!R13,②個人種目申込!R13)))</f>
        <v/>
      </c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</row>
    <row r="8" spans="1:67" s="194" customFormat="1">
      <c r="A8" s="191">
        <v>7</v>
      </c>
      <c r="B8" s="191"/>
      <c r="C8" s="191" t="str">
        <f>IF(②個人種目申込!A14="","",ASC(IF(②個人種目申込!A14="男子",1,2)))</f>
        <v/>
      </c>
      <c r="D8" s="191" t="str">
        <f>IF(②個人種目申込!B14="","",②個人種目申込!B14)</f>
        <v/>
      </c>
      <c r="E8" s="191" t="str">
        <f>ASC(②個人種目申込!C14)</f>
        <v/>
      </c>
      <c r="F8" s="191" t="str">
        <f>IF(②個人種目申込!D14="","",ASC(②個人種目申込!D14)&amp;ASC(IF(LEN(②個人種目申込!E14)=1,"0"&amp;②個人種目申込!E14,②個人種目申込!E14))&amp;ASC(IF(LEN(②個人種目申込!F14)=1,"0"&amp;②個人種目申込!F14,②個人種目申込!F14)))</f>
        <v/>
      </c>
      <c r="G8" s="191" t="str">
        <f t="shared" si="0"/>
        <v/>
      </c>
      <c r="H8" s="191" t="str">
        <f>ASC(②個人種目申込!G14)</f>
        <v/>
      </c>
      <c r="I8" s="191"/>
      <c r="J8" s="191"/>
      <c r="K8" s="191" t="str">
        <f>②個人種目申込!H14</f>
        <v/>
      </c>
      <c r="L8" s="192" t="str">
        <f>IF(K8="","",①基本データ入力!$D$12)</f>
        <v/>
      </c>
      <c r="M8" s="192"/>
      <c r="N8" s="192"/>
      <c r="O8" s="192"/>
      <c r="P8" s="192"/>
      <c r="Q8" s="193" t="s">
        <v>313</v>
      </c>
      <c r="R8" s="191" t="str">
        <f>ASC(IF(②個人種目申込!J14="自由形",10,IF(②個人種目申込!J14="背泳ぎ",20,IF(②個人種目申込!J14="平泳ぎ",30,IF(②個人種目申込!J14="バタフライ",40,IF(②個人種目申込!J14="個人メドレー",50,"")))))&amp;IF(②個人種目申込!I14=50,"050",②個人種目申込!I14))</f>
        <v/>
      </c>
      <c r="S8" s="191" t="str">
        <f>IF(R8="","",ASC(IF(LEN(②個人種目申込!K14)=1,"0"&amp;②個人種目申込!K14,②個人種目申込!K14))&amp;ASC(IF(LEN(②個人種目申込!L14)=1,"0"&amp;②個人種目申込!L14,②個人種目申込!L14))&amp;"."&amp;ASC(IF(LEN(②個人種目申込!M14)=1,"0"&amp;②個人種目申込!M14,②個人種目申込!M14)))</f>
        <v/>
      </c>
      <c r="T8" s="191" t="str">
        <f>ASC(IF(②個人種目申込!O14="自由形",10,IF(②個人種目申込!O14="背泳ぎ",20,IF(②個人種目申込!O14="平泳ぎ",30,IF(②個人種目申込!O14="バタフライ",40,IF(②個人種目申込!O14="個人メドレー",50,"")))))&amp;IF(②個人種目申込!N14="50","050",②個人種目申込!N14))</f>
        <v/>
      </c>
      <c r="U8" s="191" t="str">
        <f>IF(T8="","",ASC(IF(LEN(②個人種目申込!P14)=1,"0"&amp;②個人種目申込!P14,②個人種目申込!P14))&amp;ASC(IF(LEN(②個人種目申込!Q14)=1,"0"&amp;②個人種目申込!Q14,②個人種目申込!Q14))&amp;"."&amp;ASC(IF(LEN(②個人種目申込!R14)=1,"0"&amp;②個人種目申込!R14,②個人種目申込!R14)))</f>
        <v/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</row>
    <row r="9" spans="1:67" s="194" customFormat="1">
      <c r="A9" s="191">
        <v>8</v>
      </c>
      <c r="B9" s="191"/>
      <c r="C9" s="191" t="str">
        <f>IF(②個人種目申込!A15="","",ASC(IF(②個人種目申込!A15="男子",1,2)))</f>
        <v/>
      </c>
      <c r="D9" s="191" t="str">
        <f>IF(②個人種目申込!B15="","",②個人種目申込!B15)</f>
        <v/>
      </c>
      <c r="E9" s="191" t="str">
        <f>ASC(②個人種目申込!C15)</f>
        <v/>
      </c>
      <c r="F9" s="191" t="str">
        <f>IF(②個人種目申込!D15="","",ASC(②個人種目申込!D15)&amp;ASC(IF(LEN(②個人種目申込!E15)=1,"0"&amp;②個人種目申込!E15,②個人種目申込!E15))&amp;ASC(IF(LEN(②個人種目申込!F15)=1,"0"&amp;②個人種目申込!F15,②個人種目申込!F15)))</f>
        <v/>
      </c>
      <c r="G9" s="191" t="str">
        <f t="shared" si="0"/>
        <v/>
      </c>
      <c r="H9" s="191" t="str">
        <f>ASC(②個人種目申込!G15)</f>
        <v/>
      </c>
      <c r="I9" s="191"/>
      <c r="J9" s="191"/>
      <c r="K9" s="191" t="str">
        <f>②個人種目申込!H15</f>
        <v/>
      </c>
      <c r="L9" s="192" t="str">
        <f>IF(K9="","",①基本データ入力!$D$12)</f>
        <v/>
      </c>
      <c r="M9" s="192"/>
      <c r="N9" s="192"/>
      <c r="O9" s="192"/>
      <c r="P9" s="192"/>
      <c r="Q9" s="193" t="s">
        <v>313</v>
      </c>
      <c r="R9" s="191" t="str">
        <f>ASC(IF(②個人種目申込!J15="自由形",10,IF(②個人種目申込!J15="背泳ぎ",20,IF(②個人種目申込!J15="平泳ぎ",30,IF(②個人種目申込!J15="バタフライ",40,IF(②個人種目申込!J15="個人メドレー",50,"")))))&amp;IF(②個人種目申込!I15=50,"050",②個人種目申込!I15))</f>
        <v/>
      </c>
      <c r="S9" s="191" t="str">
        <f>IF(R9="","",ASC(IF(LEN(②個人種目申込!K15)=1,"0"&amp;②個人種目申込!K15,②個人種目申込!K15))&amp;ASC(IF(LEN(②個人種目申込!L15)=1,"0"&amp;②個人種目申込!L15,②個人種目申込!L15))&amp;"."&amp;ASC(IF(LEN(②個人種目申込!M15)=1,"0"&amp;②個人種目申込!M15,②個人種目申込!M15)))</f>
        <v/>
      </c>
      <c r="T9" s="191" t="str">
        <f>ASC(IF(②個人種目申込!O15="自由形",10,IF(②個人種目申込!O15="背泳ぎ",20,IF(②個人種目申込!O15="平泳ぎ",30,IF(②個人種目申込!O15="バタフライ",40,IF(②個人種目申込!O15="個人メドレー",50,"")))))&amp;IF(②個人種目申込!N15="50","050",②個人種目申込!N15))</f>
        <v/>
      </c>
      <c r="U9" s="191" t="str">
        <f>IF(T9="","",ASC(IF(LEN(②個人種目申込!P15)=1,"0"&amp;②個人種目申込!P15,②個人種目申込!P15))&amp;ASC(IF(LEN(②個人種目申込!Q15)=1,"0"&amp;②個人種目申込!Q15,②個人種目申込!Q15))&amp;"."&amp;ASC(IF(LEN(②個人種目申込!R15)=1,"0"&amp;②個人種目申込!R15,②個人種目申込!R15)))</f>
        <v/>
      </c>
      <c r="V9" s="191"/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</row>
    <row r="10" spans="1:67" s="194" customFormat="1">
      <c r="A10" s="191">
        <v>9</v>
      </c>
      <c r="B10" s="191"/>
      <c r="C10" s="191" t="str">
        <f>IF(②個人種目申込!A16="","",ASC(IF(②個人種目申込!A16="男子",1,2)))</f>
        <v/>
      </c>
      <c r="D10" s="191" t="str">
        <f>IF(②個人種目申込!B16="","",②個人種目申込!B16)</f>
        <v/>
      </c>
      <c r="E10" s="191" t="str">
        <f>ASC(②個人種目申込!C16)</f>
        <v/>
      </c>
      <c r="F10" s="191" t="str">
        <f>IF(②個人種目申込!D16="","",ASC(②個人種目申込!D16)&amp;ASC(IF(LEN(②個人種目申込!E16)=1,"0"&amp;②個人種目申込!E16,②個人種目申込!E16))&amp;ASC(IF(LEN(②個人種目申込!F16)=1,"0"&amp;②個人種目申込!F16,②個人種目申込!F16)))</f>
        <v/>
      </c>
      <c r="G10" s="191" t="str">
        <f t="shared" si="0"/>
        <v/>
      </c>
      <c r="H10" s="191" t="str">
        <f>ASC(②個人種目申込!G16)</f>
        <v/>
      </c>
      <c r="I10" s="191"/>
      <c r="J10" s="191"/>
      <c r="K10" s="191" t="str">
        <f>②個人種目申込!H16</f>
        <v/>
      </c>
      <c r="L10" s="192" t="str">
        <f>IF(K10="","",①基本データ入力!$D$12)</f>
        <v/>
      </c>
      <c r="M10" s="192"/>
      <c r="N10" s="192"/>
      <c r="O10" s="192"/>
      <c r="P10" s="192"/>
      <c r="Q10" s="193" t="s">
        <v>313</v>
      </c>
      <c r="R10" s="191" t="str">
        <f>ASC(IF(②個人種目申込!J16="自由形",10,IF(②個人種目申込!J16="背泳ぎ",20,IF(②個人種目申込!J16="平泳ぎ",30,IF(②個人種目申込!J16="バタフライ",40,IF(②個人種目申込!J16="個人メドレー",50,"")))))&amp;IF(②個人種目申込!I16=50,"050",②個人種目申込!I16))</f>
        <v/>
      </c>
      <c r="S10" s="191" t="str">
        <f>IF(R10="","",ASC(IF(LEN(②個人種目申込!K16)=1,"0"&amp;②個人種目申込!K16,②個人種目申込!K16))&amp;ASC(IF(LEN(②個人種目申込!L16)=1,"0"&amp;②個人種目申込!L16,②個人種目申込!L16))&amp;"."&amp;ASC(IF(LEN(②個人種目申込!M16)=1,"0"&amp;②個人種目申込!M16,②個人種目申込!M16)))</f>
        <v/>
      </c>
      <c r="T10" s="191" t="str">
        <f>ASC(IF(②個人種目申込!O16="自由形",10,IF(②個人種目申込!O16="背泳ぎ",20,IF(②個人種目申込!O16="平泳ぎ",30,IF(②個人種目申込!O16="バタフライ",40,IF(②個人種目申込!O16="個人メドレー",50,"")))))&amp;IF(②個人種目申込!N16="50","050",②個人種目申込!N16))</f>
        <v/>
      </c>
      <c r="U10" s="191" t="str">
        <f>IF(T10="","",ASC(IF(LEN(②個人種目申込!P16)=1,"0"&amp;②個人種目申込!P16,②個人種目申込!P16))&amp;ASC(IF(LEN(②個人種目申込!Q16)=1,"0"&amp;②個人種目申込!Q16,②個人種目申込!Q16))&amp;"."&amp;ASC(IF(LEN(②個人種目申込!R16)=1,"0"&amp;②個人種目申込!R16,②個人種目申込!R16)))</f>
        <v/>
      </c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M10" s="204"/>
      <c r="AN10" s="204"/>
      <c r="AO10" s="204"/>
      <c r="AP10" s="204"/>
      <c r="AQ10" s="204"/>
      <c r="AR10" s="204"/>
      <c r="AS10" s="204"/>
      <c r="AT10" s="204"/>
      <c r="AU10" s="204"/>
      <c r="AV10" s="204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</row>
    <row r="11" spans="1:67" s="194" customFormat="1">
      <c r="A11" s="191">
        <v>10</v>
      </c>
      <c r="B11" s="191"/>
      <c r="C11" s="191" t="str">
        <f>IF(②個人種目申込!A17="","",ASC(IF(②個人種目申込!A17="男子",1,2)))</f>
        <v/>
      </c>
      <c r="D11" s="191" t="str">
        <f>IF(②個人種目申込!B17="","",②個人種目申込!B17)</f>
        <v/>
      </c>
      <c r="E11" s="191" t="str">
        <f>ASC(②個人種目申込!C17)</f>
        <v/>
      </c>
      <c r="F11" s="191" t="str">
        <f>IF(②個人種目申込!D17="","",ASC(②個人種目申込!D17)&amp;ASC(IF(LEN(②個人種目申込!E17)=1,"0"&amp;②個人種目申込!E17,②個人種目申込!E17))&amp;ASC(IF(LEN(②個人種目申込!F17)=1,"0"&amp;②個人種目申込!F17,②個人種目申込!F17)))</f>
        <v/>
      </c>
      <c r="G11" s="191" t="str">
        <f t="shared" si="0"/>
        <v/>
      </c>
      <c r="H11" s="191" t="str">
        <f>ASC(②個人種目申込!G17)</f>
        <v/>
      </c>
      <c r="I11" s="191"/>
      <c r="J11" s="191"/>
      <c r="K11" s="191" t="str">
        <f>②個人種目申込!H17</f>
        <v/>
      </c>
      <c r="L11" s="192" t="str">
        <f>IF(K11="","",①基本データ入力!$D$12)</f>
        <v/>
      </c>
      <c r="M11" s="192"/>
      <c r="N11" s="192"/>
      <c r="O11" s="192"/>
      <c r="P11" s="192"/>
      <c r="Q11" s="193" t="s">
        <v>313</v>
      </c>
      <c r="R11" s="191" t="str">
        <f>ASC(IF(②個人種目申込!J17="自由形",10,IF(②個人種目申込!J17="背泳ぎ",20,IF(②個人種目申込!J17="平泳ぎ",30,IF(②個人種目申込!J17="バタフライ",40,IF(②個人種目申込!J17="個人メドレー",50,"")))))&amp;IF(②個人種目申込!I17=50,"050",②個人種目申込!I17))</f>
        <v/>
      </c>
      <c r="S11" s="191" t="str">
        <f>IF(R11="","",ASC(IF(LEN(②個人種目申込!K17)=1,"0"&amp;②個人種目申込!K17,②個人種目申込!K17))&amp;ASC(IF(LEN(②個人種目申込!L17)=1,"0"&amp;②個人種目申込!L17,②個人種目申込!L17))&amp;"."&amp;ASC(IF(LEN(②個人種目申込!M17)=1,"0"&amp;②個人種目申込!M17,②個人種目申込!M17)))</f>
        <v/>
      </c>
      <c r="T11" s="191" t="str">
        <f>ASC(IF(②個人種目申込!O17="自由形",10,IF(②個人種目申込!O17="背泳ぎ",20,IF(②個人種目申込!O17="平泳ぎ",30,IF(②個人種目申込!O17="バタフライ",40,IF(②個人種目申込!O17="個人メドレー",50,"")))))&amp;IF(②個人種目申込!N17="50","050",②個人種目申込!N17))</f>
        <v/>
      </c>
      <c r="U11" s="191" t="str">
        <f>IF(T11="","",ASC(IF(LEN(②個人種目申込!P17)=1,"0"&amp;②個人種目申込!P17,②個人種目申込!P17))&amp;ASC(IF(LEN(②個人種目申込!Q17)=1,"0"&amp;②個人種目申込!Q17,②個人種目申込!Q17))&amp;"."&amp;ASC(IF(LEN(②個人種目申込!R17)=1,"0"&amp;②個人種目申込!R17,②個人種目申込!R17)))</f>
        <v/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</row>
    <row r="12" spans="1:67" s="194" customFormat="1">
      <c r="A12" s="191">
        <v>11</v>
      </c>
      <c r="B12" s="191"/>
      <c r="C12" s="191" t="str">
        <f>IF(②個人種目申込!A18="","",ASC(IF(②個人種目申込!A18="男子",1,2)))</f>
        <v/>
      </c>
      <c r="D12" s="191" t="str">
        <f>IF(②個人種目申込!B18="","",②個人種目申込!B18)</f>
        <v/>
      </c>
      <c r="E12" s="191" t="str">
        <f>ASC(②個人種目申込!C18)</f>
        <v/>
      </c>
      <c r="F12" s="191" t="str">
        <f>IF(②個人種目申込!D18="","",ASC(②個人種目申込!D18)&amp;ASC(IF(LEN(②個人種目申込!E18)=1,"0"&amp;②個人種目申込!E18,②個人種目申込!E18))&amp;ASC(IF(LEN(②個人種目申込!F18)=1,"0"&amp;②個人種目申込!F18,②個人種目申込!F18)))</f>
        <v/>
      </c>
      <c r="G12" s="191" t="str">
        <f t="shared" si="0"/>
        <v/>
      </c>
      <c r="H12" s="191" t="str">
        <f>ASC(②個人種目申込!G18)</f>
        <v/>
      </c>
      <c r="I12" s="191"/>
      <c r="J12" s="191"/>
      <c r="K12" s="191" t="str">
        <f>②個人種目申込!H18</f>
        <v/>
      </c>
      <c r="L12" s="192" t="str">
        <f>IF(K12="","",①基本データ入力!$D$12)</f>
        <v/>
      </c>
      <c r="M12" s="192"/>
      <c r="N12" s="192"/>
      <c r="O12" s="192"/>
      <c r="P12" s="192"/>
      <c r="Q12" s="193" t="s">
        <v>313</v>
      </c>
      <c r="R12" s="191" t="str">
        <f>ASC(IF(②個人種目申込!J18="自由形",10,IF(②個人種目申込!J18="背泳ぎ",20,IF(②個人種目申込!J18="平泳ぎ",30,IF(②個人種目申込!J18="バタフライ",40,IF(②個人種目申込!J18="個人メドレー",50,"")))))&amp;IF(②個人種目申込!I18=50,"050",②個人種目申込!I18))</f>
        <v/>
      </c>
      <c r="S12" s="191" t="str">
        <f>IF(R12="","",ASC(IF(LEN(②個人種目申込!K18)=1,"0"&amp;②個人種目申込!K18,②個人種目申込!K18))&amp;ASC(IF(LEN(②個人種目申込!L18)=1,"0"&amp;②個人種目申込!L18,②個人種目申込!L18))&amp;"."&amp;ASC(IF(LEN(②個人種目申込!M18)=1,"0"&amp;②個人種目申込!M18,②個人種目申込!M18)))</f>
        <v/>
      </c>
      <c r="T12" s="191" t="str">
        <f>ASC(IF(②個人種目申込!O18="自由形",10,IF(②個人種目申込!O18="背泳ぎ",20,IF(②個人種目申込!O18="平泳ぎ",30,IF(②個人種目申込!O18="バタフライ",40,IF(②個人種目申込!O18="個人メドレー",50,"")))))&amp;IF(②個人種目申込!N18="50","050",②個人種目申込!N18))</f>
        <v/>
      </c>
      <c r="U12" s="191" t="str">
        <f>IF(T12="","",ASC(IF(LEN(②個人種目申込!P18)=1,"0"&amp;②個人種目申込!P18,②個人種目申込!P18))&amp;ASC(IF(LEN(②個人種目申込!Q18)=1,"0"&amp;②個人種目申込!Q18,②個人種目申込!Q18))&amp;"."&amp;ASC(IF(LEN(②個人種目申込!R18)=1,"0"&amp;②個人種目申込!R18,②個人種目申込!R18)))</f>
        <v/>
      </c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</row>
    <row r="13" spans="1:67" s="194" customFormat="1">
      <c r="A13" s="191">
        <v>12</v>
      </c>
      <c r="B13" s="191"/>
      <c r="C13" s="191" t="str">
        <f>IF(②個人種目申込!A19="","",ASC(IF(②個人種目申込!A19="男子",1,2)))</f>
        <v/>
      </c>
      <c r="D13" s="191" t="str">
        <f>IF(②個人種目申込!B19="","",②個人種目申込!B19)</f>
        <v/>
      </c>
      <c r="E13" s="191" t="str">
        <f>ASC(②個人種目申込!C19)</f>
        <v/>
      </c>
      <c r="F13" s="191" t="str">
        <f>IF(②個人種目申込!D19="","",ASC(②個人種目申込!D19)&amp;ASC(IF(LEN(②個人種目申込!E19)=1,"0"&amp;②個人種目申込!E19,②個人種目申込!E19))&amp;ASC(IF(LEN(②個人種目申込!F19)=1,"0"&amp;②個人種目申込!F19,②個人種目申込!F19)))</f>
        <v/>
      </c>
      <c r="G13" s="191" t="str">
        <f t="shared" si="0"/>
        <v/>
      </c>
      <c r="H13" s="191" t="str">
        <f>ASC(②個人種目申込!G19)</f>
        <v/>
      </c>
      <c r="I13" s="191"/>
      <c r="J13" s="191"/>
      <c r="K13" s="191" t="str">
        <f>②個人種目申込!H19</f>
        <v/>
      </c>
      <c r="L13" s="192" t="str">
        <f>IF(K13="","",①基本データ入力!$D$12)</f>
        <v/>
      </c>
      <c r="M13" s="192"/>
      <c r="N13" s="192"/>
      <c r="O13" s="192"/>
      <c r="P13" s="192"/>
      <c r="Q13" s="193" t="s">
        <v>313</v>
      </c>
      <c r="R13" s="191" t="str">
        <f>ASC(IF(②個人種目申込!J19="自由形",10,IF(②個人種目申込!J19="背泳ぎ",20,IF(②個人種目申込!J19="平泳ぎ",30,IF(②個人種目申込!J19="バタフライ",40,IF(②個人種目申込!J19="個人メドレー",50,"")))))&amp;IF(②個人種目申込!I19=50,"050",②個人種目申込!I19))</f>
        <v/>
      </c>
      <c r="S13" s="191" t="str">
        <f>IF(R13="","",ASC(IF(LEN(②個人種目申込!K19)=1,"0"&amp;②個人種目申込!K19,②個人種目申込!K19))&amp;ASC(IF(LEN(②個人種目申込!L19)=1,"0"&amp;②個人種目申込!L19,②個人種目申込!L19))&amp;"."&amp;ASC(IF(LEN(②個人種目申込!M19)=1,"0"&amp;②個人種目申込!M19,②個人種目申込!M19)))</f>
        <v/>
      </c>
      <c r="T13" s="191" t="str">
        <f>ASC(IF(②個人種目申込!O19="自由形",10,IF(②個人種目申込!O19="背泳ぎ",20,IF(②個人種目申込!O19="平泳ぎ",30,IF(②個人種目申込!O19="バタフライ",40,IF(②個人種目申込!O19="個人メドレー",50,"")))))&amp;IF(②個人種目申込!N19="50","050",②個人種目申込!N19))</f>
        <v/>
      </c>
      <c r="U13" s="191" t="str">
        <f>IF(T13="","",ASC(IF(LEN(②個人種目申込!P19)=1,"0"&amp;②個人種目申込!P19,②個人種目申込!P19))&amp;ASC(IF(LEN(②個人種目申込!Q19)=1,"0"&amp;②個人種目申込!Q19,②個人種目申込!Q19))&amp;"."&amp;ASC(IF(LEN(②個人種目申込!R19)=1,"0"&amp;②個人種目申込!R19,②個人種目申込!R19)))</f>
        <v/>
      </c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</row>
    <row r="14" spans="1:67" s="194" customFormat="1">
      <c r="A14" s="191">
        <v>13</v>
      </c>
      <c r="B14" s="191"/>
      <c r="C14" s="191" t="str">
        <f>IF(②個人種目申込!A20="","",ASC(IF(②個人種目申込!A20="男子",1,2)))</f>
        <v/>
      </c>
      <c r="D14" s="191" t="str">
        <f>IF(②個人種目申込!B20="","",②個人種目申込!B20)</f>
        <v/>
      </c>
      <c r="E14" s="191" t="str">
        <f>ASC(②個人種目申込!C20)</f>
        <v/>
      </c>
      <c r="F14" s="191" t="str">
        <f>IF(②個人種目申込!D20="","",ASC(②個人種目申込!D20)&amp;ASC(IF(LEN(②個人種目申込!E20)=1,"0"&amp;②個人種目申込!E20,②個人種目申込!E20))&amp;ASC(IF(LEN(②個人種目申込!F20)=1,"0"&amp;②個人種目申込!F20,②個人種目申込!F20)))</f>
        <v/>
      </c>
      <c r="G14" s="191" t="str">
        <f t="shared" si="0"/>
        <v/>
      </c>
      <c r="H14" s="191" t="str">
        <f>ASC(②個人種目申込!G20)</f>
        <v/>
      </c>
      <c r="I14" s="191"/>
      <c r="J14" s="191"/>
      <c r="K14" s="191" t="str">
        <f>②個人種目申込!H20</f>
        <v/>
      </c>
      <c r="L14" s="192" t="str">
        <f>IF(K14="","",①基本データ入力!$D$12)</f>
        <v/>
      </c>
      <c r="M14" s="192"/>
      <c r="N14" s="192"/>
      <c r="O14" s="192"/>
      <c r="P14" s="192"/>
      <c r="Q14" s="193" t="s">
        <v>313</v>
      </c>
      <c r="R14" s="191" t="str">
        <f>ASC(IF(②個人種目申込!J20="自由形",10,IF(②個人種目申込!J20="背泳ぎ",20,IF(②個人種目申込!J20="平泳ぎ",30,IF(②個人種目申込!J20="バタフライ",40,IF(②個人種目申込!J20="個人メドレー",50,"")))))&amp;IF(②個人種目申込!I20=50,"050",②個人種目申込!I20))</f>
        <v/>
      </c>
      <c r="S14" s="191" t="str">
        <f>IF(R14="","",ASC(IF(LEN(②個人種目申込!K20)=1,"0"&amp;②個人種目申込!K20,②個人種目申込!K20))&amp;ASC(IF(LEN(②個人種目申込!L20)=1,"0"&amp;②個人種目申込!L20,②個人種目申込!L20))&amp;"."&amp;ASC(IF(LEN(②個人種目申込!M20)=1,"0"&amp;②個人種目申込!M20,②個人種目申込!M20)))</f>
        <v/>
      </c>
      <c r="T14" s="191" t="str">
        <f>ASC(IF(②個人種目申込!O20="自由形",10,IF(②個人種目申込!O20="背泳ぎ",20,IF(②個人種目申込!O20="平泳ぎ",30,IF(②個人種目申込!O20="バタフライ",40,IF(②個人種目申込!O20="個人メドレー",50,"")))))&amp;IF(②個人種目申込!N20="50","050",②個人種目申込!N20))</f>
        <v/>
      </c>
      <c r="U14" s="191" t="str">
        <f>IF(T14="","",ASC(IF(LEN(②個人種目申込!P20)=1,"0"&amp;②個人種目申込!P20,②個人種目申込!P20))&amp;ASC(IF(LEN(②個人種目申込!Q20)=1,"0"&amp;②個人種目申込!Q20,②個人種目申込!Q20))&amp;"."&amp;ASC(IF(LEN(②個人種目申込!R20)=1,"0"&amp;②個人種目申込!R20,②個人種目申込!R20)))</f>
        <v/>
      </c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191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</row>
    <row r="15" spans="1:67" s="194" customFormat="1">
      <c r="A15" s="191">
        <v>14</v>
      </c>
      <c r="B15" s="191"/>
      <c r="C15" s="191" t="str">
        <f>IF(②個人種目申込!A21="","",ASC(IF(②個人種目申込!A21="男子",1,2)))</f>
        <v/>
      </c>
      <c r="D15" s="191" t="str">
        <f>IF(②個人種目申込!B21="","",②個人種目申込!B21)</f>
        <v/>
      </c>
      <c r="E15" s="191" t="str">
        <f>ASC(②個人種目申込!C21)</f>
        <v/>
      </c>
      <c r="F15" s="191" t="str">
        <f>IF(②個人種目申込!D21="","",ASC(②個人種目申込!D21)&amp;ASC(IF(LEN(②個人種目申込!E21)=1,"0"&amp;②個人種目申込!E21,②個人種目申込!E21))&amp;ASC(IF(LEN(②個人種目申込!F21)=1,"0"&amp;②個人種目申込!F21,②個人種目申込!F21)))</f>
        <v/>
      </c>
      <c r="G15" s="191" t="str">
        <f t="shared" si="0"/>
        <v/>
      </c>
      <c r="H15" s="191" t="str">
        <f>ASC(②個人種目申込!G21)</f>
        <v/>
      </c>
      <c r="I15" s="191"/>
      <c r="J15" s="191"/>
      <c r="K15" s="191" t="str">
        <f>②個人種目申込!H21</f>
        <v/>
      </c>
      <c r="L15" s="192" t="str">
        <f>IF(K15="","",①基本データ入力!$D$12)</f>
        <v/>
      </c>
      <c r="M15" s="192"/>
      <c r="N15" s="192"/>
      <c r="O15" s="192"/>
      <c r="P15" s="192"/>
      <c r="Q15" s="193" t="s">
        <v>313</v>
      </c>
      <c r="R15" s="191" t="str">
        <f>ASC(IF(②個人種目申込!J21="自由形",10,IF(②個人種目申込!J21="背泳ぎ",20,IF(②個人種目申込!J21="平泳ぎ",30,IF(②個人種目申込!J21="バタフライ",40,IF(②個人種目申込!J21="個人メドレー",50,"")))))&amp;IF(②個人種目申込!I21=50,"050",②個人種目申込!I21))</f>
        <v/>
      </c>
      <c r="S15" s="191" t="str">
        <f>IF(R15="","",ASC(IF(LEN(②個人種目申込!K21)=1,"0"&amp;②個人種目申込!K21,②個人種目申込!K21))&amp;ASC(IF(LEN(②個人種目申込!L21)=1,"0"&amp;②個人種目申込!L21,②個人種目申込!L21))&amp;"."&amp;ASC(IF(LEN(②個人種目申込!M21)=1,"0"&amp;②個人種目申込!M21,②個人種目申込!M21)))</f>
        <v/>
      </c>
      <c r="T15" s="191" t="str">
        <f>ASC(IF(②個人種目申込!O21="自由形",10,IF(②個人種目申込!O21="背泳ぎ",20,IF(②個人種目申込!O21="平泳ぎ",30,IF(②個人種目申込!O21="バタフライ",40,IF(②個人種目申込!O21="個人メドレー",50,"")))))&amp;IF(②個人種目申込!N21="50","050",②個人種目申込!N21))</f>
        <v/>
      </c>
      <c r="U15" s="191" t="str">
        <f>IF(T15="","",ASC(IF(LEN(②個人種目申込!P21)=1,"0"&amp;②個人種目申込!P21,②個人種目申込!P21))&amp;ASC(IF(LEN(②個人種目申込!Q21)=1,"0"&amp;②個人種目申込!Q21,②個人種目申込!Q21))&amp;"."&amp;ASC(IF(LEN(②個人種目申込!R21)=1,"0"&amp;②個人種目申込!R21,②個人種目申込!R21)))</f>
        <v/>
      </c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</row>
    <row r="16" spans="1:67" s="194" customFormat="1">
      <c r="A16" s="191">
        <v>15</v>
      </c>
      <c r="B16" s="191"/>
      <c r="C16" s="191" t="str">
        <f>IF(②個人種目申込!A22="","",ASC(IF(②個人種目申込!A22="男子",1,2)))</f>
        <v/>
      </c>
      <c r="D16" s="191" t="str">
        <f>IF(②個人種目申込!B22="","",②個人種目申込!B22)</f>
        <v/>
      </c>
      <c r="E16" s="191" t="str">
        <f>ASC(②個人種目申込!C22)</f>
        <v/>
      </c>
      <c r="F16" s="191" t="str">
        <f>IF(②個人種目申込!D22="","",ASC(②個人種目申込!D22)&amp;ASC(IF(LEN(②個人種目申込!E22)=1,"0"&amp;②個人種目申込!E22,②個人種目申込!E22))&amp;ASC(IF(LEN(②個人種目申込!F22)=1,"0"&amp;②個人種目申込!F22,②個人種目申込!F22)))</f>
        <v/>
      </c>
      <c r="G16" s="191" t="str">
        <f t="shared" si="0"/>
        <v/>
      </c>
      <c r="H16" s="191" t="str">
        <f>ASC(②個人種目申込!G22)</f>
        <v/>
      </c>
      <c r="I16" s="191"/>
      <c r="J16" s="191"/>
      <c r="K16" s="191" t="str">
        <f>②個人種目申込!H22</f>
        <v/>
      </c>
      <c r="L16" s="192" t="str">
        <f>IF(K16="","",①基本データ入力!$D$12)</f>
        <v/>
      </c>
      <c r="M16" s="192"/>
      <c r="N16" s="192"/>
      <c r="O16" s="192"/>
      <c r="P16" s="192"/>
      <c r="Q16" s="193" t="s">
        <v>313</v>
      </c>
      <c r="R16" s="191" t="str">
        <f>ASC(IF(②個人種目申込!J22="自由形",10,IF(②個人種目申込!J22="背泳ぎ",20,IF(②個人種目申込!J22="平泳ぎ",30,IF(②個人種目申込!J22="バタフライ",40,IF(②個人種目申込!J22="個人メドレー",50,"")))))&amp;IF(②個人種目申込!I22=50,"050",②個人種目申込!I22))</f>
        <v/>
      </c>
      <c r="S16" s="191" t="str">
        <f>IF(R16="","",ASC(IF(LEN(②個人種目申込!K22)=1,"0"&amp;②個人種目申込!K22,②個人種目申込!K22))&amp;ASC(IF(LEN(②個人種目申込!L22)=1,"0"&amp;②個人種目申込!L22,②個人種目申込!L22))&amp;"."&amp;ASC(IF(LEN(②個人種目申込!M22)=1,"0"&amp;②個人種目申込!M22,②個人種目申込!M22)))</f>
        <v/>
      </c>
      <c r="T16" s="191" t="str">
        <f>ASC(IF(②個人種目申込!O22="自由形",10,IF(②個人種目申込!O22="背泳ぎ",20,IF(②個人種目申込!O22="平泳ぎ",30,IF(②個人種目申込!O22="バタフライ",40,IF(②個人種目申込!O22="個人メドレー",50,"")))))&amp;IF(②個人種目申込!N22="50","050",②個人種目申込!N22))</f>
        <v/>
      </c>
      <c r="U16" s="191" t="str">
        <f>IF(T16="","",ASC(IF(LEN(②個人種目申込!P22)=1,"0"&amp;②個人種目申込!P22,②個人種目申込!P22))&amp;ASC(IF(LEN(②個人種目申込!Q22)=1,"0"&amp;②個人種目申込!Q22,②個人種目申込!Q22))&amp;"."&amp;ASC(IF(LEN(②個人種目申込!R22)=1,"0"&amp;②個人種目申込!R22,②個人種目申込!R22)))</f>
        <v/>
      </c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</row>
    <row r="17" spans="1:61" s="194" customFormat="1">
      <c r="A17" s="191">
        <v>16</v>
      </c>
      <c r="B17" s="191"/>
      <c r="C17" s="191" t="str">
        <f>IF(②個人種目申込!A23="","",ASC(IF(②個人種目申込!A23="男子",1,2)))</f>
        <v/>
      </c>
      <c r="D17" s="191" t="str">
        <f>IF(②個人種目申込!B23="","",②個人種目申込!B23)</f>
        <v/>
      </c>
      <c r="E17" s="191" t="str">
        <f>ASC(②個人種目申込!C23)</f>
        <v/>
      </c>
      <c r="F17" s="191" t="str">
        <f>IF(②個人種目申込!D23="","",ASC(②個人種目申込!D23)&amp;ASC(IF(LEN(②個人種目申込!E23)=1,"0"&amp;②個人種目申込!E23,②個人種目申込!E23))&amp;ASC(IF(LEN(②個人種目申込!F23)=1,"0"&amp;②個人種目申込!F23,②個人種目申込!F23)))</f>
        <v/>
      </c>
      <c r="G17" s="191" t="str">
        <f t="shared" si="0"/>
        <v/>
      </c>
      <c r="H17" s="191" t="str">
        <f>ASC(②個人種目申込!G23)</f>
        <v/>
      </c>
      <c r="I17" s="191"/>
      <c r="J17" s="191"/>
      <c r="K17" s="191" t="str">
        <f>②個人種目申込!H23</f>
        <v/>
      </c>
      <c r="L17" s="192" t="str">
        <f>IF(K17="","",①基本データ入力!$D$12)</f>
        <v/>
      </c>
      <c r="M17" s="192"/>
      <c r="N17" s="192"/>
      <c r="O17" s="192"/>
      <c r="P17" s="192"/>
      <c r="Q17" s="193" t="s">
        <v>313</v>
      </c>
      <c r="R17" s="191" t="str">
        <f>ASC(IF(②個人種目申込!J23="自由形",10,IF(②個人種目申込!J23="背泳ぎ",20,IF(②個人種目申込!J23="平泳ぎ",30,IF(②個人種目申込!J23="バタフライ",40,IF(②個人種目申込!J23="個人メドレー",50,"")))))&amp;IF(②個人種目申込!I23=50,"050",②個人種目申込!I23))</f>
        <v/>
      </c>
      <c r="S17" s="191" t="str">
        <f>IF(R17="","",ASC(IF(LEN(②個人種目申込!K23)=1,"0"&amp;②個人種目申込!K23,②個人種目申込!K23))&amp;ASC(IF(LEN(②個人種目申込!L23)=1,"0"&amp;②個人種目申込!L23,②個人種目申込!L23))&amp;"."&amp;ASC(IF(LEN(②個人種目申込!M23)=1,"0"&amp;②個人種目申込!M23,②個人種目申込!M23)))</f>
        <v/>
      </c>
      <c r="T17" s="191" t="str">
        <f>ASC(IF(②個人種目申込!O23="自由形",10,IF(②個人種目申込!O23="背泳ぎ",20,IF(②個人種目申込!O23="平泳ぎ",30,IF(②個人種目申込!O23="バタフライ",40,IF(②個人種目申込!O23="個人メドレー",50,"")))))&amp;IF(②個人種目申込!N23="50","050",②個人種目申込!N23))</f>
        <v/>
      </c>
      <c r="U17" s="191" t="str">
        <f>IF(T17="","",ASC(IF(LEN(②個人種目申込!P23)=1,"0"&amp;②個人種目申込!P23,②個人種目申込!P23))&amp;ASC(IF(LEN(②個人種目申込!Q23)=1,"0"&amp;②個人種目申込!Q23,②個人種目申込!Q23))&amp;"."&amp;ASC(IF(LEN(②個人種目申込!R23)=1,"0"&amp;②個人種目申込!R23,②個人種目申込!R23)))</f>
        <v/>
      </c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</row>
    <row r="18" spans="1:61" s="194" customFormat="1">
      <c r="A18" s="191">
        <v>17</v>
      </c>
      <c r="B18" s="191"/>
      <c r="C18" s="191" t="str">
        <f>IF(②個人種目申込!A24="","",ASC(IF(②個人種目申込!A24="男子",1,2)))</f>
        <v/>
      </c>
      <c r="D18" s="191" t="str">
        <f>IF(②個人種目申込!B24="","",②個人種目申込!B24)</f>
        <v/>
      </c>
      <c r="E18" s="191" t="str">
        <f>ASC(②個人種目申込!C24)</f>
        <v/>
      </c>
      <c r="F18" s="191" t="str">
        <f>IF(②個人種目申込!D24="","",ASC(②個人種目申込!D24)&amp;ASC(IF(LEN(②個人種目申込!E24)=1,"0"&amp;②個人種目申込!E24,②個人種目申込!E24))&amp;ASC(IF(LEN(②個人種目申込!F24)=1,"0"&amp;②個人種目申込!F24,②個人種目申込!F24)))</f>
        <v/>
      </c>
      <c r="G18" s="191" t="str">
        <f t="shared" si="0"/>
        <v/>
      </c>
      <c r="H18" s="191" t="str">
        <f>ASC(②個人種目申込!G24)</f>
        <v/>
      </c>
      <c r="I18" s="191"/>
      <c r="J18" s="191"/>
      <c r="K18" s="191" t="str">
        <f>②個人種目申込!H24</f>
        <v/>
      </c>
      <c r="L18" s="192" t="str">
        <f>IF(K18="","",①基本データ入力!$D$12)</f>
        <v/>
      </c>
      <c r="M18" s="192"/>
      <c r="N18" s="192"/>
      <c r="O18" s="192"/>
      <c r="P18" s="192"/>
      <c r="Q18" s="193" t="s">
        <v>313</v>
      </c>
      <c r="R18" s="191" t="str">
        <f>ASC(IF(②個人種目申込!J24="自由形",10,IF(②個人種目申込!J24="背泳ぎ",20,IF(②個人種目申込!J24="平泳ぎ",30,IF(②個人種目申込!J24="バタフライ",40,IF(②個人種目申込!J24="個人メドレー",50,"")))))&amp;IF(②個人種目申込!I24=50,"050",②個人種目申込!I24))</f>
        <v/>
      </c>
      <c r="S18" s="191" t="str">
        <f>IF(R18="","",ASC(IF(LEN(②個人種目申込!K24)=1,"0"&amp;②個人種目申込!K24,②個人種目申込!K24))&amp;ASC(IF(LEN(②個人種目申込!L24)=1,"0"&amp;②個人種目申込!L24,②個人種目申込!L24))&amp;"."&amp;ASC(IF(LEN(②個人種目申込!M24)=1,"0"&amp;②個人種目申込!M24,②個人種目申込!M24)))</f>
        <v/>
      </c>
      <c r="T18" s="191" t="str">
        <f>ASC(IF(②個人種目申込!O24="自由形",10,IF(②個人種目申込!O24="背泳ぎ",20,IF(②個人種目申込!O24="平泳ぎ",30,IF(②個人種目申込!O24="バタフライ",40,IF(②個人種目申込!O24="個人メドレー",50,"")))))&amp;IF(②個人種目申込!N24="50","050",②個人種目申込!N24))</f>
        <v/>
      </c>
      <c r="U18" s="191" t="str">
        <f>IF(T18="","",ASC(IF(LEN(②個人種目申込!P24)=1,"0"&amp;②個人種目申込!P24,②個人種目申込!P24))&amp;ASC(IF(LEN(②個人種目申込!Q24)=1,"0"&amp;②個人種目申込!Q24,②個人種目申込!Q24))&amp;"."&amp;ASC(IF(LEN(②個人種目申込!R24)=1,"0"&amp;②個人種目申込!R24,②個人種目申込!R24)))</f>
        <v/>
      </c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</row>
    <row r="19" spans="1:61" s="194" customFormat="1">
      <c r="A19" s="191">
        <v>18</v>
      </c>
      <c r="B19" s="191"/>
      <c r="C19" s="191" t="str">
        <f>IF(②個人種目申込!A25="","",ASC(IF(②個人種目申込!A25="男子",1,2)))</f>
        <v/>
      </c>
      <c r="D19" s="191" t="str">
        <f>IF(②個人種目申込!B25="","",②個人種目申込!B25)</f>
        <v/>
      </c>
      <c r="E19" s="191" t="str">
        <f>ASC(②個人種目申込!C25)</f>
        <v/>
      </c>
      <c r="F19" s="191" t="str">
        <f>IF(②個人種目申込!D25="","",ASC(②個人種目申込!D25)&amp;ASC(IF(LEN(②個人種目申込!E25)=1,"0"&amp;②個人種目申込!E25,②個人種目申込!E25))&amp;ASC(IF(LEN(②個人種目申込!F25)=1,"0"&amp;②個人種目申込!F25,②個人種目申込!F25)))</f>
        <v/>
      </c>
      <c r="G19" s="191" t="str">
        <f t="shared" si="0"/>
        <v/>
      </c>
      <c r="H19" s="191" t="str">
        <f>ASC(②個人種目申込!G25)</f>
        <v/>
      </c>
      <c r="I19" s="191"/>
      <c r="J19" s="191"/>
      <c r="K19" s="191" t="str">
        <f>②個人種目申込!H25</f>
        <v/>
      </c>
      <c r="L19" s="192" t="str">
        <f>IF(K19="","",①基本データ入力!$D$12)</f>
        <v/>
      </c>
      <c r="M19" s="192"/>
      <c r="N19" s="192"/>
      <c r="O19" s="192"/>
      <c r="P19" s="192"/>
      <c r="Q19" s="193" t="s">
        <v>313</v>
      </c>
      <c r="R19" s="191" t="str">
        <f>ASC(IF(②個人種目申込!J25="自由形",10,IF(②個人種目申込!J25="背泳ぎ",20,IF(②個人種目申込!J25="平泳ぎ",30,IF(②個人種目申込!J25="バタフライ",40,IF(②個人種目申込!J25="個人メドレー",50,"")))))&amp;IF(②個人種目申込!I25=50,"050",②個人種目申込!I25))</f>
        <v/>
      </c>
      <c r="S19" s="191" t="str">
        <f>IF(R19="","",ASC(IF(LEN(②個人種目申込!K25)=1,"0"&amp;②個人種目申込!K25,②個人種目申込!K25))&amp;ASC(IF(LEN(②個人種目申込!L25)=1,"0"&amp;②個人種目申込!L25,②個人種目申込!L25))&amp;"."&amp;ASC(IF(LEN(②個人種目申込!M25)=1,"0"&amp;②個人種目申込!M25,②個人種目申込!M25)))</f>
        <v/>
      </c>
      <c r="T19" s="191" t="str">
        <f>ASC(IF(②個人種目申込!O25="自由形",10,IF(②個人種目申込!O25="背泳ぎ",20,IF(②個人種目申込!O25="平泳ぎ",30,IF(②個人種目申込!O25="バタフライ",40,IF(②個人種目申込!O25="個人メドレー",50,"")))))&amp;IF(②個人種目申込!N25="50","050",②個人種目申込!N25))</f>
        <v/>
      </c>
      <c r="U19" s="191" t="str">
        <f>IF(T19="","",ASC(IF(LEN(②個人種目申込!P25)=1,"0"&amp;②個人種目申込!P25,②個人種目申込!P25))&amp;ASC(IF(LEN(②個人種目申込!Q25)=1,"0"&amp;②個人種目申込!Q25,②個人種目申込!Q25))&amp;"."&amp;ASC(IF(LEN(②個人種目申込!R25)=1,"0"&amp;②個人種目申込!R25,②個人種目申込!R25)))</f>
        <v/>
      </c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</row>
    <row r="20" spans="1:61" s="194" customFormat="1">
      <c r="A20" s="191">
        <v>19</v>
      </c>
      <c r="B20" s="191"/>
      <c r="C20" s="191" t="str">
        <f>IF(②個人種目申込!A26="","",ASC(IF(②個人種目申込!A26="男子",1,2)))</f>
        <v/>
      </c>
      <c r="D20" s="191" t="str">
        <f>IF(②個人種目申込!B26="","",②個人種目申込!B26)</f>
        <v/>
      </c>
      <c r="E20" s="191" t="str">
        <f>ASC(②個人種目申込!C26)</f>
        <v/>
      </c>
      <c r="F20" s="191" t="str">
        <f>IF(②個人種目申込!D26="","",ASC(②個人種目申込!D26)&amp;ASC(IF(LEN(②個人種目申込!E26)=1,"0"&amp;②個人種目申込!E26,②個人種目申込!E26))&amp;ASC(IF(LEN(②個人種目申込!F26)=1,"0"&amp;②個人種目申込!F26,②個人種目申込!F26)))</f>
        <v/>
      </c>
      <c r="G20" s="191" t="str">
        <f t="shared" si="0"/>
        <v/>
      </c>
      <c r="H20" s="191" t="str">
        <f>ASC(②個人種目申込!G26)</f>
        <v/>
      </c>
      <c r="I20" s="191"/>
      <c r="J20" s="191"/>
      <c r="K20" s="191" t="str">
        <f>②個人種目申込!H26</f>
        <v/>
      </c>
      <c r="L20" s="192" t="str">
        <f>IF(K20="","",①基本データ入力!$D$12)</f>
        <v/>
      </c>
      <c r="M20" s="192"/>
      <c r="N20" s="192"/>
      <c r="O20" s="192"/>
      <c r="P20" s="192"/>
      <c r="Q20" s="193" t="s">
        <v>313</v>
      </c>
      <c r="R20" s="191" t="str">
        <f>ASC(IF(②個人種目申込!J26="自由形",10,IF(②個人種目申込!J26="背泳ぎ",20,IF(②個人種目申込!J26="平泳ぎ",30,IF(②個人種目申込!J26="バタフライ",40,IF(②個人種目申込!J26="個人メドレー",50,"")))))&amp;IF(②個人種目申込!I26=50,"050",②個人種目申込!I26))</f>
        <v/>
      </c>
      <c r="S20" s="191" t="str">
        <f>IF(R20="","",ASC(IF(LEN(②個人種目申込!K26)=1,"0"&amp;②個人種目申込!K26,②個人種目申込!K26))&amp;ASC(IF(LEN(②個人種目申込!L26)=1,"0"&amp;②個人種目申込!L26,②個人種目申込!L26))&amp;"."&amp;ASC(IF(LEN(②個人種目申込!M26)=1,"0"&amp;②個人種目申込!M26,②個人種目申込!M26)))</f>
        <v/>
      </c>
      <c r="T20" s="191" t="str">
        <f>ASC(IF(②個人種目申込!O26="自由形",10,IF(②個人種目申込!O26="背泳ぎ",20,IF(②個人種目申込!O26="平泳ぎ",30,IF(②個人種目申込!O26="バタフライ",40,IF(②個人種目申込!O26="個人メドレー",50,"")))))&amp;IF(②個人種目申込!N26="50","050",②個人種目申込!N26))</f>
        <v/>
      </c>
      <c r="U20" s="191" t="str">
        <f>IF(T20="","",ASC(IF(LEN(②個人種目申込!P26)=1,"0"&amp;②個人種目申込!P26,②個人種目申込!P26))&amp;ASC(IF(LEN(②個人種目申込!Q26)=1,"0"&amp;②個人種目申込!Q26,②個人種目申込!Q26))&amp;"."&amp;ASC(IF(LEN(②個人種目申込!R26)=1,"0"&amp;②個人種目申込!R26,②個人種目申込!R26)))</f>
        <v/>
      </c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</row>
    <row r="21" spans="1:61" s="194" customFormat="1">
      <c r="A21" s="191">
        <v>20</v>
      </c>
      <c r="B21" s="191"/>
      <c r="C21" s="191" t="str">
        <f>IF(②個人種目申込!A27="","",ASC(IF(②個人種目申込!A27="男子",1,2)))</f>
        <v/>
      </c>
      <c r="D21" s="191" t="str">
        <f>IF(②個人種目申込!B27="","",②個人種目申込!B27)</f>
        <v/>
      </c>
      <c r="E21" s="191" t="str">
        <f>ASC(②個人種目申込!C27)</f>
        <v/>
      </c>
      <c r="F21" s="191" t="str">
        <f>IF(②個人種目申込!D27="","",ASC(②個人種目申込!D27)&amp;ASC(IF(LEN(②個人種目申込!E27)=1,"0"&amp;②個人種目申込!E27,②個人種目申込!E27))&amp;ASC(IF(LEN(②個人種目申込!F27)=1,"0"&amp;②個人種目申込!F27,②個人種目申込!F27)))</f>
        <v/>
      </c>
      <c r="G21" s="191" t="str">
        <f t="shared" si="0"/>
        <v/>
      </c>
      <c r="H21" s="191" t="str">
        <f>ASC(②個人種目申込!G27)</f>
        <v/>
      </c>
      <c r="I21" s="191"/>
      <c r="J21" s="191"/>
      <c r="K21" s="191" t="str">
        <f>②個人種目申込!H27</f>
        <v/>
      </c>
      <c r="L21" s="192" t="str">
        <f>IF(K21="","",①基本データ入力!$D$12)</f>
        <v/>
      </c>
      <c r="M21" s="192"/>
      <c r="N21" s="192"/>
      <c r="O21" s="192"/>
      <c r="P21" s="192"/>
      <c r="Q21" s="193" t="s">
        <v>313</v>
      </c>
      <c r="R21" s="191" t="str">
        <f>ASC(IF(②個人種目申込!J27="自由形",10,IF(②個人種目申込!J27="背泳ぎ",20,IF(②個人種目申込!J27="平泳ぎ",30,IF(②個人種目申込!J27="バタフライ",40,IF(②個人種目申込!J27="個人メドレー",50,"")))))&amp;IF(②個人種目申込!I27=50,"050",②個人種目申込!I27))</f>
        <v/>
      </c>
      <c r="S21" s="191" t="str">
        <f>IF(R21="","",ASC(IF(LEN(②個人種目申込!K27)=1,"0"&amp;②個人種目申込!K27,②個人種目申込!K27))&amp;ASC(IF(LEN(②個人種目申込!L27)=1,"0"&amp;②個人種目申込!L27,②個人種目申込!L27))&amp;"."&amp;ASC(IF(LEN(②個人種目申込!M27)=1,"0"&amp;②個人種目申込!M27,②個人種目申込!M27)))</f>
        <v/>
      </c>
      <c r="T21" s="191" t="str">
        <f>ASC(IF(②個人種目申込!O27="自由形",10,IF(②個人種目申込!O27="背泳ぎ",20,IF(②個人種目申込!O27="平泳ぎ",30,IF(②個人種目申込!O27="バタフライ",40,IF(②個人種目申込!O27="個人メドレー",50,"")))))&amp;IF(②個人種目申込!N27="50","050",②個人種目申込!N27))</f>
        <v/>
      </c>
      <c r="U21" s="191" t="str">
        <f>IF(T21="","",ASC(IF(LEN(②個人種目申込!P27)=1,"0"&amp;②個人種目申込!P27,②個人種目申込!P27))&amp;ASC(IF(LEN(②個人種目申込!Q27)=1,"0"&amp;②個人種目申込!Q27,②個人種目申込!Q27))&amp;"."&amp;ASC(IF(LEN(②個人種目申込!R27)=1,"0"&amp;②個人種目申込!R27,②個人種目申込!R27)))</f>
        <v/>
      </c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</row>
    <row r="22" spans="1:61" s="194" customFormat="1">
      <c r="A22" s="191">
        <v>21</v>
      </c>
      <c r="B22" s="191"/>
      <c r="C22" s="191" t="str">
        <f>IF(②個人種目申込!A28="","",ASC(IF(②個人種目申込!A28="男子",1,2)))</f>
        <v/>
      </c>
      <c r="D22" s="191" t="str">
        <f>IF(②個人種目申込!B28="","",②個人種目申込!B28)</f>
        <v/>
      </c>
      <c r="E22" s="191" t="str">
        <f>ASC(②個人種目申込!C28)</f>
        <v/>
      </c>
      <c r="F22" s="191" t="str">
        <f>IF(②個人種目申込!D28="","",ASC(②個人種目申込!D28)&amp;ASC(IF(LEN(②個人種目申込!E28)=1,"0"&amp;②個人種目申込!E28,②個人種目申込!E28))&amp;ASC(IF(LEN(②個人種目申込!F28)=1,"0"&amp;②個人種目申込!F28,②個人種目申込!F28)))</f>
        <v/>
      </c>
      <c r="G22" s="191" t="str">
        <f t="shared" si="0"/>
        <v/>
      </c>
      <c r="H22" s="191" t="str">
        <f>ASC(②個人種目申込!G28)</f>
        <v/>
      </c>
      <c r="I22" s="191"/>
      <c r="J22" s="191"/>
      <c r="K22" s="191" t="str">
        <f>②個人種目申込!H28</f>
        <v/>
      </c>
      <c r="L22" s="192" t="str">
        <f>IF(K22="","",①基本データ入力!$D$12)</f>
        <v/>
      </c>
      <c r="M22" s="192"/>
      <c r="N22" s="192"/>
      <c r="O22" s="192"/>
      <c r="P22" s="192"/>
      <c r="Q22" s="193" t="s">
        <v>313</v>
      </c>
      <c r="R22" s="191" t="str">
        <f>ASC(IF(②個人種目申込!J28="自由形",10,IF(②個人種目申込!J28="背泳ぎ",20,IF(②個人種目申込!J28="平泳ぎ",30,IF(②個人種目申込!J28="バタフライ",40,IF(②個人種目申込!J28="個人メドレー",50,"")))))&amp;IF(②個人種目申込!I28=50,"050",②個人種目申込!I28))</f>
        <v/>
      </c>
      <c r="S22" s="191" t="str">
        <f>IF(R22="","",ASC(IF(LEN(②個人種目申込!K28)=1,"0"&amp;②個人種目申込!K28,②個人種目申込!K28))&amp;ASC(IF(LEN(②個人種目申込!L28)=1,"0"&amp;②個人種目申込!L28,②個人種目申込!L28))&amp;"."&amp;ASC(IF(LEN(②個人種目申込!M28)=1,"0"&amp;②個人種目申込!M28,②個人種目申込!M28)))</f>
        <v/>
      </c>
      <c r="T22" s="191" t="str">
        <f>ASC(IF(②個人種目申込!O28="自由形",10,IF(②個人種目申込!O28="背泳ぎ",20,IF(②個人種目申込!O28="平泳ぎ",30,IF(②個人種目申込!O28="バタフライ",40,IF(②個人種目申込!O28="個人メドレー",50,"")))))&amp;IF(②個人種目申込!N28="50","050",②個人種目申込!N28))</f>
        <v/>
      </c>
      <c r="U22" s="191" t="str">
        <f>IF(T22="","",ASC(IF(LEN(②個人種目申込!P28)=1,"0"&amp;②個人種目申込!P28,②個人種目申込!P28))&amp;ASC(IF(LEN(②個人種目申込!Q28)=1,"0"&amp;②個人種目申込!Q28,②個人種目申込!Q28))&amp;"."&amp;ASC(IF(LEN(②個人種目申込!R28)=1,"0"&amp;②個人種目申込!R28,②個人種目申込!R28)))</f>
        <v/>
      </c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</row>
    <row r="23" spans="1:61" s="194" customFormat="1">
      <c r="A23" s="191">
        <v>22</v>
      </c>
      <c r="B23" s="191"/>
      <c r="C23" s="191" t="str">
        <f>IF(②個人種目申込!A29="","",ASC(IF(②個人種目申込!A29="男子",1,2)))</f>
        <v/>
      </c>
      <c r="D23" s="191" t="str">
        <f>IF(②個人種目申込!B29="","",②個人種目申込!B29)</f>
        <v/>
      </c>
      <c r="E23" s="191" t="str">
        <f>ASC(②個人種目申込!C29)</f>
        <v/>
      </c>
      <c r="F23" s="191" t="str">
        <f>IF(②個人種目申込!D29="","",ASC(②個人種目申込!D29)&amp;ASC(IF(LEN(②個人種目申込!E29)=1,"0"&amp;②個人種目申込!E29,②個人種目申込!E29))&amp;ASC(IF(LEN(②個人種目申込!F29)=1,"0"&amp;②個人種目申込!F29,②個人種目申込!F29)))</f>
        <v/>
      </c>
      <c r="G23" s="191" t="str">
        <f t="shared" si="0"/>
        <v/>
      </c>
      <c r="H23" s="191" t="str">
        <f>ASC(②個人種目申込!G29)</f>
        <v/>
      </c>
      <c r="I23" s="191"/>
      <c r="J23" s="191"/>
      <c r="K23" s="191" t="str">
        <f>②個人種目申込!H29</f>
        <v/>
      </c>
      <c r="L23" s="192" t="str">
        <f>IF(K23="","",①基本データ入力!$D$12)</f>
        <v/>
      </c>
      <c r="M23" s="192"/>
      <c r="N23" s="192"/>
      <c r="O23" s="192"/>
      <c r="P23" s="192"/>
      <c r="Q23" s="193" t="s">
        <v>313</v>
      </c>
      <c r="R23" s="191" t="str">
        <f>ASC(IF(②個人種目申込!J29="自由形",10,IF(②個人種目申込!J29="背泳ぎ",20,IF(②個人種目申込!J29="平泳ぎ",30,IF(②個人種目申込!J29="バタフライ",40,IF(②個人種目申込!J29="個人メドレー",50,"")))))&amp;IF(②個人種目申込!I29=50,"050",②個人種目申込!I29))</f>
        <v/>
      </c>
      <c r="S23" s="191" t="str">
        <f>IF(R23="","",ASC(IF(LEN(②個人種目申込!K29)=1,"0"&amp;②個人種目申込!K29,②個人種目申込!K29))&amp;ASC(IF(LEN(②個人種目申込!L29)=1,"0"&amp;②個人種目申込!L29,②個人種目申込!L29))&amp;"."&amp;ASC(IF(LEN(②個人種目申込!M29)=1,"0"&amp;②個人種目申込!M29,②個人種目申込!M29)))</f>
        <v/>
      </c>
      <c r="T23" s="191" t="str">
        <f>ASC(IF(②個人種目申込!O29="自由形",10,IF(②個人種目申込!O29="背泳ぎ",20,IF(②個人種目申込!O29="平泳ぎ",30,IF(②個人種目申込!O29="バタフライ",40,IF(②個人種目申込!O29="個人メドレー",50,"")))))&amp;IF(②個人種目申込!N29="50","050",②個人種目申込!N29))</f>
        <v/>
      </c>
      <c r="U23" s="191" t="str">
        <f>IF(T23="","",ASC(IF(LEN(②個人種目申込!P29)=1,"0"&amp;②個人種目申込!P29,②個人種目申込!P29))&amp;ASC(IF(LEN(②個人種目申込!Q29)=1,"0"&amp;②個人種目申込!Q29,②個人種目申込!Q29))&amp;"."&amp;ASC(IF(LEN(②個人種目申込!R29)=1,"0"&amp;②個人種目申込!R29,②個人種目申込!R29)))</f>
        <v/>
      </c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</row>
    <row r="24" spans="1:61" s="194" customFormat="1">
      <c r="A24" s="191">
        <v>23</v>
      </c>
      <c r="B24" s="191"/>
      <c r="C24" s="191" t="str">
        <f>IF(②個人種目申込!A30="","",ASC(IF(②個人種目申込!A30="男子",1,2)))</f>
        <v/>
      </c>
      <c r="D24" s="191" t="str">
        <f>IF(②個人種目申込!B30="","",②個人種目申込!B30)</f>
        <v/>
      </c>
      <c r="E24" s="191" t="str">
        <f>ASC(②個人種目申込!C30)</f>
        <v/>
      </c>
      <c r="F24" s="191" t="str">
        <f>IF(②個人種目申込!D30="","",ASC(②個人種目申込!D30)&amp;ASC(IF(LEN(②個人種目申込!E30)=1,"0"&amp;②個人種目申込!E30,②個人種目申込!E30))&amp;ASC(IF(LEN(②個人種目申込!F30)=1,"0"&amp;②個人種目申込!F30,②個人種目申込!F30)))</f>
        <v/>
      </c>
      <c r="G24" s="191" t="str">
        <f t="shared" si="0"/>
        <v/>
      </c>
      <c r="H24" s="191" t="str">
        <f>ASC(②個人種目申込!G30)</f>
        <v/>
      </c>
      <c r="I24" s="191"/>
      <c r="J24" s="191"/>
      <c r="K24" s="191" t="str">
        <f>②個人種目申込!H30</f>
        <v/>
      </c>
      <c r="L24" s="192" t="str">
        <f>IF(K24="","",①基本データ入力!$D$12)</f>
        <v/>
      </c>
      <c r="M24" s="192"/>
      <c r="N24" s="192"/>
      <c r="O24" s="192"/>
      <c r="P24" s="192"/>
      <c r="Q24" s="193" t="s">
        <v>313</v>
      </c>
      <c r="R24" s="191" t="str">
        <f>ASC(IF(②個人種目申込!J30="自由形",10,IF(②個人種目申込!J30="背泳ぎ",20,IF(②個人種目申込!J30="平泳ぎ",30,IF(②個人種目申込!J30="バタフライ",40,IF(②個人種目申込!J30="個人メドレー",50,"")))))&amp;IF(②個人種目申込!I30=50,"050",②個人種目申込!I30))</f>
        <v/>
      </c>
      <c r="S24" s="191" t="str">
        <f>IF(R24="","",ASC(IF(LEN(②個人種目申込!K30)=1,"0"&amp;②個人種目申込!K30,②個人種目申込!K30))&amp;ASC(IF(LEN(②個人種目申込!L30)=1,"0"&amp;②個人種目申込!L30,②個人種目申込!L30))&amp;"."&amp;ASC(IF(LEN(②個人種目申込!M30)=1,"0"&amp;②個人種目申込!M30,②個人種目申込!M30)))</f>
        <v/>
      </c>
      <c r="T24" s="191" t="str">
        <f>ASC(IF(②個人種目申込!O30="自由形",10,IF(②個人種目申込!O30="背泳ぎ",20,IF(②個人種目申込!O30="平泳ぎ",30,IF(②個人種目申込!O30="バタフライ",40,IF(②個人種目申込!O30="個人メドレー",50,"")))))&amp;IF(②個人種目申込!N30="50","050",②個人種目申込!N30))</f>
        <v/>
      </c>
      <c r="U24" s="191" t="str">
        <f>IF(T24="","",ASC(IF(LEN(②個人種目申込!P30)=1,"0"&amp;②個人種目申込!P30,②個人種目申込!P30))&amp;ASC(IF(LEN(②個人種目申込!Q30)=1,"0"&amp;②個人種目申込!Q30,②個人種目申込!Q30))&amp;"."&amp;ASC(IF(LEN(②個人種目申込!R30)=1,"0"&amp;②個人種目申込!R30,②個人種目申込!R30)))</f>
        <v/>
      </c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</row>
    <row r="25" spans="1:61" s="194" customFormat="1">
      <c r="A25" s="191">
        <v>24</v>
      </c>
      <c r="B25" s="191"/>
      <c r="C25" s="191" t="str">
        <f>IF(②個人種目申込!A31="","",ASC(IF(②個人種目申込!A31="男子",1,2)))</f>
        <v/>
      </c>
      <c r="D25" s="191" t="str">
        <f>IF(②個人種目申込!B31="","",②個人種目申込!B31)</f>
        <v/>
      </c>
      <c r="E25" s="191" t="str">
        <f>ASC(②個人種目申込!C31)</f>
        <v/>
      </c>
      <c r="F25" s="191" t="str">
        <f>IF(②個人種目申込!D31="","",ASC(②個人種目申込!D31)&amp;ASC(IF(LEN(②個人種目申込!E31)=1,"0"&amp;②個人種目申込!E31,②個人種目申込!E31))&amp;ASC(IF(LEN(②個人種目申込!F31)=1,"0"&amp;②個人種目申込!F31,②個人種目申込!F31)))</f>
        <v/>
      </c>
      <c r="G25" s="191" t="str">
        <f t="shared" si="0"/>
        <v/>
      </c>
      <c r="H25" s="191" t="str">
        <f>ASC(②個人種目申込!G31)</f>
        <v/>
      </c>
      <c r="I25" s="191"/>
      <c r="J25" s="191"/>
      <c r="K25" s="191" t="str">
        <f>②個人種目申込!H31</f>
        <v/>
      </c>
      <c r="L25" s="192" t="str">
        <f>IF(K25="","",①基本データ入力!$D$12)</f>
        <v/>
      </c>
      <c r="M25" s="192"/>
      <c r="N25" s="192"/>
      <c r="O25" s="192"/>
      <c r="P25" s="192"/>
      <c r="Q25" s="193" t="s">
        <v>313</v>
      </c>
      <c r="R25" s="191" t="str">
        <f>ASC(IF(②個人種目申込!J31="自由形",10,IF(②個人種目申込!J31="背泳ぎ",20,IF(②個人種目申込!J31="平泳ぎ",30,IF(②個人種目申込!J31="バタフライ",40,IF(②個人種目申込!J31="個人メドレー",50,"")))))&amp;IF(②個人種目申込!I31=50,"050",②個人種目申込!I31))</f>
        <v/>
      </c>
      <c r="S25" s="191" t="str">
        <f>IF(R25="","",ASC(IF(LEN(②個人種目申込!K31)=1,"0"&amp;②個人種目申込!K31,②個人種目申込!K31))&amp;ASC(IF(LEN(②個人種目申込!L31)=1,"0"&amp;②個人種目申込!L31,②個人種目申込!L31))&amp;"."&amp;ASC(IF(LEN(②個人種目申込!M31)=1,"0"&amp;②個人種目申込!M31,②個人種目申込!M31)))</f>
        <v/>
      </c>
      <c r="T25" s="191" t="str">
        <f>ASC(IF(②個人種目申込!O31="自由形",10,IF(②個人種目申込!O31="背泳ぎ",20,IF(②個人種目申込!O31="平泳ぎ",30,IF(②個人種目申込!O31="バタフライ",40,IF(②個人種目申込!O31="個人メドレー",50,"")))))&amp;IF(②個人種目申込!N31="50","050",②個人種目申込!N31))</f>
        <v/>
      </c>
      <c r="U25" s="191" t="str">
        <f>IF(T25="","",ASC(IF(LEN(②個人種目申込!P31)=1,"0"&amp;②個人種目申込!P31,②個人種目申込!P31))&amp;ASC(IF(LEN(②個人種目申込!Q31)=1,"0"&amp;②個人種目申込!Q31,②個人種目申込!Q31))&amp;"."&amp;ASC(IF(LEN(②個人種目申込!R31)=1,"0"&amp;②個人種目申込!R31,②個人種目申込!R31)))</f>
        <v/>
      </c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</row>
    <row r="26" spans="1:61" s="194" customFormat="1">
      <c r="A26" s="191">
        <v>25</v>
      </c>
      <c r="B26" s="191"/>
      <c r="C26" s="191" t="str">
        <f>IF(②個人種目申込!A32="","",ASC(IF(②個人種目申込!A32="男子",1,2)))</f>
        <v/>
      </c>
      <c r="D26" s="191" t="str">
        <f>IF(②個人種目申込!B32="","",②個人種目申込!B32)</f>
        <v/>
      </c>
      <c r="E26" s="191" t="str">
        <f>ASC(②個人種目申込!C32)</f>
        <v/>
      </c>
      <c r="F26" s="191" t="str">
        <f>IF(②個人種目申込!D32="","",ASC(②個人種目申込!D32)&amp;ASC(IF(LEN(②個人種目申込!E32)=1,"0"&amp;②個人種目申込!E32,②個人種目申込!E32))&amp;ASC(IF(LEN(②個人種目申込!F32)=1,"0"&amp;②個人種目申込!F32,②個人種目申込!F32)))</f>
        <v/>
      </c>
      <c r="G26" s="191" t="str">
        <f t="shared" si="0"/>
        <v/>
      </c>
      <c r="H26" s="191" t="str">
        <f>ASC(②個人種目申込!G32)</f>
        <v/>
      </c>
      <c r="I26" s="191"/>
      <c r="J26" s="191"/>
      <c r="K26" s="191" t="str">
        <f>②個人種目申込!H32</f>
        <v/>
      </c>
      <c r="L26" s="192" t="str">
        <f>IF(K26="","",①基本データ入力!$D$12)</f>
        <v/>
      </c>
      <c r="M26" s="192"/>
      <c r="N26" s="192"/>
      <c r="O26" s="192"/>
      <c r="P26" s="192"/>
      <c r="Q26" s="193" t="s">
        <v>313</v>
      </c>
      <c r="R26" s="191" t="str">
        <f>ASC(IF(②個人種目申込!J32="自由形",10,IF(②個人種目申込!J32="背泳ぎ",20,IF(②個人種目申込!J32="平泳ぎ",30,IF(②個人種目申込!J32="バタフライ",40,IF(②個人種目申込!J32="個人メドレー",50,"")))))&amp;IF(②個人種目申込!I32=50,"050",②個人種目申込!I32))</f>
        <v/>
      </c>
      <c r="S26" s="191" t="str">
        <f>IF(R26="","",ASC(IF(LEN(②個人種目申込!K32)=1,"0"&amp;②個人種目申込!K32,②個人種目申込!K32))&amp;ASC(IF(LEN(②個人種目申込!L32)=1,"0"&amp;②個人種目申込!L32,②個人種目申込!L32))&amp;"."&amp;ASC(IF(LEN(②個人種目申込!M32)=1,"0"&amp;②個人種目申込!M32,②個人種目申込!M32)))</f>
        <v/>
      </c>
      <c r="T26" s="191" t="str">
        <f>ASC(IF(②個人種目申込!O32="自由形",10,IF(②個人種目申込!O32="背泳ぎ",20,IF(②個人種目申込!O32="平泳ぎ",30,IF(②個人種目申込!O32="バタフライ",40,IF(②個人種目申込!O32="個人メドレー",50,"")))))&amp;IF(②個人種目申込!N32="50","050",②個人種目申込!N32))</f>
        <v/>
      </c>
      <c r="U26" s="191" t="str">
        <f>IF(T26="","",ASC(IF(LEN(②個人種目申込!P32)=1,"0"&amp;②個人種目申込!P32,②個人種目申込!P32))&amp;ASC(IF(LEN(②個人種目申込!Q32)=1,"0"&amp;②個人種目申込!Q32,②個人種目申込!Q32))&amp;"."&amp;ASC(IF(LEN(②個人種目申込!R32)=1,"0"&amp;②個人種目申込!R32,②個人種目申込!R32)))</f>
        <v/>
      </c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</row>
  </sheetData>
  <phoneticPr fontId="4"/>
  <dataValidations count="4">
    <dataValidation imeMode="halfKatakana" allowBlank="1" showInputMessage="1" showErrorMessage="1" sqref="AO17:AO65535 N27:N65535 E1 L1 N1 P1 E27:E65535 L27:L65535 P27:P65535 AO1:AO8" xr:uid="{00000000-0002-0000-0800-000000000000}"/>
    <dataValidation imeMode="off" allowBlank="1" showInputMessage="1" showErrorMessage="1" sqref="Q27:AK65535 Q2:Q26 B27:C65535 B1:C1 F1:J1 Q1:AK1 F27:J65535 AP1:AV1048576" xr:uid="{00000000-0002-0000-0800-000001000000}"/>
    <dataValidation imeMode="on" allowBlank="1" showInputMessage="1" showErrorMessage="1" sqref="O27:O65535 M27:M65535 O1 K1 M1 K27:K65535" xr:uid="{00000000-0002-0000-0800-000002000000}"/>
    <dataValidation imeMode="hiragana" allowBlank="1" showInputMessage="1" showErrorMessage="1" sqref="D1 D27:D65535 AN1:AN1048576" xr:uid="{00000000-0002-0000-0800-000003000000}"/>
  </dataValidations>
  <pageMargins left="0.78700000000000003" right="0.78700000000000003" top="0.98399999999999999" bottom="0.98399999999999999" header="0.51200000000000001" footer="0.51200000000000001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①基本データ入力</vt:lpstr>
      <vt:lpstr>②個人種目申込</vt:lpstr>
      <vt:lpstr>③リレー申込</vt:lpstr>
      <vt:lpstr>④学校参加申込書（提出用）</vt:lpstr>
      <vt:lpstr>⑤外部指導者</vt:lpstr>
      <vt:lpstr>理事処理用個人</vt:lpstr>
      <vt:lpstr>理事処理用リレー</vt:lpstr>
      <vt:lpstr>理事処理用役員</vt:lpstr>
      <vt:lpstr>理事処理用</vt:lpstr>
      <vt:lpstr>中学住所</vt:lpstr>
      <vt:lpstr>③リレー申込!Print_Area</vt:lpstr>
      <vt:lpstr>'④学校参加申込書（提出用）'!Print_Area</vt:lpstr>
      <vt:lpstr>県内中学校</vt:lpstr>
      <vt:lpstr>女子</vt:lpstr>
      <vt:lpstr>女子100</vt:lpstr>
      <vt:lpstr>女子200</vt:lpstr>
      <vt:lpstr>女子400</vt:lpstr>
      <vt:lpstr>女子50</vt:lpstr>
      <vt:lpstr>新人種目</vt:lpstr>
      <vt:lpstr>総体種目</vt:lpstr>
      <vt:lpstr>男子</vt:lpstr>
      <vt:lpstr>男子100</vt:lpstr>
      <vt:lpstr>男子200</vt:lpstr>
      <vt:lpstr>男子400</vt:lpstr>
      <vt:lpstr>男子50</vt:lpstr>
      <vt:lpstr>役員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水泳部 岡山県中体連</cp:lastModifiedBy>
  <cp:lastPrinted>2019-05-11T23:48:24Z</cp:lastPrinted>
  <dcterms:created xsi:type="dcterms:W3CDTF">2003-05-22T09:40:17Z</dcterms:created>
  <dcterms:modified xsi:type="dcterms:W3CDTF">2024-05-29T13:33:56Z</dcterms:modified>
</cp:coreProperties>
</file>